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65386" windowWidth="15390" windowHeight="11760" activeTab="0"/>
  </bookViews>
  <sheets>
    <sheet name="AG Premer" sheetId="1" r:id="rId1"/>
  </sheets>
  <definedNames>
    <definedName name="_xlnm.Print_Area" localSheetId="0">'AG Premer'!$A$1:$O$1701</definedName>
  </definedNames>
  <calcPr fullCalcOnLoad="1"/>
</workbook>
</file>

<file path=xl/comments1.xml><?xml version="1.0" encoding="utf-8"?>
<comments xmlns="http://schemas.openxmlformats.org/spreadsheetml/2006/main">
  <authors>
    <author>Asus</author>
  </authors>
  <commentList>
    <comment ref="B245" authorId="0">
      <text>
        <r>
          <rPr>
            <b/>
            <sz val="9"/>
            <rFont val="Tahoma"/>
            <family val="0"/>
          </rPr>
          <t>Asus:</t>
        </r>
        <r>
          <rPr>
            <sz val="9"/>
            <rFont val="Tahoma"/>
            <family val="0"/>
          </rPr>
          <t xml:space="preserve">
</t>
        </r>
      </text>
    </comment>
    <comment ref="B243" authorId="0">
      <text>
        <r>
          <rPr>
            <b/>
            <sz val="9"/>
            <rFont val="Tahoma"/>
            <family val="0"/>
          </rPr>
          <t>Asus:</t>
        </r>
        <r>
          <rPr>
            <sz val="9"/>
            <rFont val="Tahoma"/>
            <family val="0"/>
          </rPr>
          <t xml:space="preserve">
</t>
        </r>
      </text>
    </comment>
  </commentList>
</comments>
</file>

<file path=xl/sharedStrings.xml><?xml version="1.0" encoding="utf-8"?>
<sst xmlns="http://schemas.openxmlformats.org/spreadsheetml/2006/main" count="2797" uniqueCount="1274">
  <si>
    <t>EU</t>
  </si>
  <si>
    <t>oduzmi saltere</t>
  </si>
  <si>
    <t>88/126</t>
  </si>
  <si>
    <t>135/220</t>
  </si>
  <si>
    <t>(9.25*3.05-4.86-0.36)+(9.25*3.05-4.86-0.36)+(8.55*3.05-2.02-0.36)</t>
  </si>
  <si>
    <t>(10.47*2.9-4.86-0.36)+(10.47*2.9-6.48-0.36)+(8.07*2.9-1.62-0.36)</t>
  </si>
  <si>
    <t>(10.47*3.2-4.86-0.36)+(10.47*3.2-4.86-0.36)+(9.67*3.2-1.62-0.36)</t>
  </si>
  <si>
    <t>24.81+12+14.75+5.58+3.52+2.52</t>
  </si>
  <si>
    <t>6.20+24.53+7.71+4.3+4.23+2.73+2.73</t>
  </si>
  <si>
    <t>35.44+20.7+3.52+3.52+3.23+4.20</t>
  </si>
  <si>
    <t>(2,71+2,67)+(3,78+1,13+0,2+0,9+0,3*2+0,7+0,3+0,7+1,2)+12,38+8,7</t>
  </si>
  <si>
    <t>(0,2+1,2+3+2,7+0,3+4,6+4,+2,2+0,5+3,5+1,6+0,5)+17,36</t>
  </si>
  <si>
    <t>1,2+1,2+0,3+2,75+3,85+1,1+0,3+0,7+0,15+1,25+3+0,9</t>
  </si>
  <si>
    <t>1,5*12*6</t>
  </si>
  <si>
    <t>(0.3*12*6)+(6*3)</t>
  </si>
  <si>
    <t>(1.5*0.3*12*6)+(3*1.5*3)</t>
  </si>
  <si>
    <t>2,8*3,2+10,76*2</t>
  </si>
  <si>
    <t xml:space="preserve"> 160/220</t>
  </si>
  <si>
    <t xml:space="preserve">                                                                                                                                                                                                                                                                                                                                                                                                                                                                                                                                                                                                                                                                                                                                                                                                                                                                                                                                                                                                                                                                                                                                                                                                                                                                                                                                                                                                                                                                                                                                                                                                                                                                                                                                                                                                                                                                                                                                                                                                                                                                                                                                                                                                                                                                                                      </t>
  </si>
  <si>
    <t>90/205</t>
  </si>
  <si>
    <t>ПРИПРЕМНО-ЗАВРШНИ РАДОВИ</t>
  </si>
  <si>
    <t>ЗИДАРСКИ РАДОВИ</t>
  </si>
  <si>
    <t>БЕТОНСКИ И АРМИРАНО-БЕТОНСКИ РАДОВИ</t>
  </si>
  <si>
    <t>АРМИРАЧКИ РАДОВИ</t>
  </si>
  <si>
    <t>ТЕСАРСКИ РАДОВИ</t>
  </si>
  <si>
    <t>ПОКРИВАЧКИ РАДОВИ</t>
  </si>
  <si>
    <t>ИЗОЛАТЕРСКИ РАДОВИ</t>
  </si>
  <si>
    <t>ГРАЂЕВИНБСКА СТОЛАРИЈА</t>
  </si>
  <si>
    <t>БРАВАРСКИ РАДОВИ</t>
  </si>
  <si>
    <t>ЛИМАРСКИ РАДОВИ</t>
  </si>
  <si>
    <t>КАМЕНОРЕЗАЧКИ РАДОВИ</t>
  </si>
  <si>
    <t>КЕРАМИЧАРСКИРАДОВИ</t>
  </si>
  <si>
    <t>ПАРКЕТАРСКИ РАДОВИ</t>
  </si>
  <si>
    <t>СУВОМОНТАЖНИ РАДОВИ</t>
  </si>
  <si>
    <t>ФАСАДЕРСКИ РАДОВИ</t>
  </si>
  <si>
    <t>МОЛЕРСКО-ФАРБАРСКИ РАДОВИ</t>
  </si>
  <si>
    <t>РАЗНИ РАДОВИ</t>
  </si>
  <si>
    <t>ПРИПРЕМНО ЗАВРШНИ РАДОВИ</t>
  </si>
  <si>
    <t>р.б.</t>
  </si>
  <si>
    <t>ОПИС</t>
  </si>
  <si>
    <t>ј.м.</t>
  </si>
  <si>
    <t>количина</t>
  </si>
  <si>
    <t>јед. цена</t>
  </si>
  <si>
    <t>УКУПНО</t>
  </si>
  <si>
    <t>Монтажа и демонтажа приручне бараке за смештај алата, материјала и радника. Бараку израдити од монтажних елемената или дасака 1" са дрвеном конструкцијом. Бараку покрити даскама и тер папиром или салонитом. Обрачун по м2 бараке, комплет. Напомена: Површина бараке узета је паушално, и зависиће од организације и потреба извођача радова.</t>
  </si>
  <si>
    <t>м2</t>
  </si>
  <si>
    <t>Израда радних надстрешница за рад, обраду грађе и друго. Радне надстрешнице израдити од фосни и цеви за фасадну скелу или дрвене грађе. Преко надстрешнице од фосни поставити слој тер папира и причврстити летвама и ексерима. Обрачун по м2 изведене надстрешнице. Напомена: Површина надстрешнице узета је паушално, и зависиће од организације и потреба извођача радова.</t>
  </si>
  <si>
    <t>ком</t>
  </si>
  <si>
    <t>Израда и постављање табли и других ознака са упозорењем, а по техничким прописима. Табла је димензија 80 x 60цм. Обрачун по комаду табле.</t>
  </si>
  <si>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м2 подне површине објекта.</t>
  </si>
  <si>
    <t>ТОТАЛ 0:</t>
  </si>
  <si>
    <t>Демонтажа надстрешнице. Прво демонтирати облогу а затим носеће делове надстрешнице, све очистити и сложити за поновну уградњу или утоварити у камион и одвести на депонију коју одреди инвеститор удаљену до 15 км. Шут прикупити, изнети, утоварити на камион и одвести на градску депонију.
Обрачун по м2 надстрешнице.</t>
  </si>
  <si>
    <t>објекат 1.</t>
  </si>
  <si>
    <t>УКУПНО:</t>
  </si>
  <si>
    <t xml:space="preserve">Пре почетка земљаних радова извршити обележавање сталних тачака и висинских кота, а затим извршити (уколико се изводи широки ископ) грубо обележавање објекта. Уколико је објекат без подрума комплетно обележавање објекта. Пре обележавања објекта извршити рашчишћавање терена, уклањање ломљивог и осталог материјала, порушити објекте који се налазе у оквиру габарита објекта, посећи дрвеће, уклонити пањеве и остало. </t>
  </si>
  <si>
    <t>Широки откоп објекта извршити са шкарпираним обалама, тако да не би дошло до одрона земље уколико је то могуће. Уколико та могућност не постоји извршити осигурање обала, да не би дошло до одрона, падања земље или рушења суседног објекта. Дубину одређују задате висинске коте.
Приликом ископа тракастих темеља, темеља самаца или темељних греда на одређену дубину фундирања мора се водити рачуна да вертикалне стране ископа буду правилно изведене (ископане ручно или машински). У свим случајевима где је то могуће да ископ не буде ужи или плићи од предвиђеног као и да растресита земља не остане у темељима у случају да је ископ у растреситом земљишту обале се морају осигурати од одрона и падања земље у темељне траке, као и осигурање радника који изводе тај ископ. Дубина фундирања-ископа изводи се уз стални надзор руководиоца извођача радова, који је дужан да о евентуалним променама састава земљишта извести надзорну службу и пројектанта ради решавања насталог проблема.</t>
  </si>
  <si>
    <t>Насипање земље око темеља и поред објекта врши се растреситим материјалом уколико је земља без убацивања шута, ломљеног материјала или  стабла, корења дрвећа и осталог. Земљу сабијати дрвеним маљевима или вибратором у максималној висини слојева од 20 цм. Приликом насипања шљунковитог материјала испод темеља, подова, тротоара и око објекта мора се извршити сабијање у слојевима са максималном висином од 20 цм. Уколико је за насипање шљунка потребна одговарајућа стишљивост то се мора и доказати и на одговарајући начин.</t>
  </si>
  <si>
    <t>м3</t>
  </si>
  <si>
    <t>ископ испод темељних везних греда до коте терена:</t>
  </si>
  <si>
    <t xml:space="preserve">Насипање простора поред темеља земљом. Земљу насипати у слојевима од 20 цм квасити водом и набити до потребне збијености. </t>
  </si>
  <si>
    <t>испод тракастих темеља</t>
  </si>
  <si>
    <t>ТОТАЛ 1:</t>
  </si>
  <si>
    <t>Зидање конструктивних и преградних зидова објекта извести према правилнику у предвиђеном малтеру од стране пројектанта са правилно изведеним напуњеним хоризонталним и вертикалним спојницама без изливања малтера из спојница. Материјал који се користи за зидање мора одговарати стандарду са правилним ивицама и без видних напрслина. Све везе приликом зидања морају бити потпуну правилно изведене. Материјал којим се објекат зида мора бити чист. 
Све димњаке озидати потпуно правилно са правилно изведеним каналима и потребном капом, материјалом и начином како је то предвидео пројектант. Код преградних зидова обавезно је урадити серклаж за укрућење зида у висини надвратника са одговарајућом арматуром. Малтерисање зидова и плафона извршити предвиђеним малтером на већ припремљеним зидовима и плафонима (очишћеним од малтера или сл.) са претходним прскањем цементним малтером. Малтерисање извести у два слоја:</t>
  </si>
  <si>
    <t>*први слој - груби грунтирање</t>
  </si>
  <si>
    <t>*други слој - од фино просејаног малтера пердаша</t>
  </si>
  <si>
    <t>Приземље</t>
  </si>
  <si>
    <t>Тавански простор</t>
  </si>
  <si>
    <t>Приземље:</t>
  </si>
  <si>
    <t>Малтерисање унутрашњих површина зидова од опеке, блока и бетона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</si>
  <si>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Малтерисање косих степенишних плоче степеништа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плоча. Обрачун по м2.</t>
  </si>
  <si>
    <t>Малтерисање плафона од опекарских блокова или бетонске плоче продужним малтером. Преко подлоге набацити цементни шприц. Први слој, грунт, радити продужним малтером од просејаног шљунка, "јединице". Подлогу поквасити, нанети први слој малтера и нарезати га. Други слој справити са ситним чистим песком, без примеса муља и органских материја и нанети преко првог слоја. Пердашити уз квашење и глачање малим пердашкама. Површине морају бити равне, без прелома и таласа. Малтер квасити да не дође до брзог сушења и "прегоревања". У цену улази и помоћна скела. Обрачун по м2 плафона.</t>
  </si>
  <si>
    <t>м1</t>
  </si>
  <si>
    <t>Све бетонске-армирано бетонске радове извести од портланд цемента одговарајућег квалитета (према стандарду) и исправног агрегата, потпуно чистог и квалитетног шљунка или од гранулираног шљунка са правилном заступљеношћу одговарајућих гранулација и правилним дозирањем воде. Цемент који се користи за израду-справљење бетона мора бити у оригиналном паковању и употребљив у одређеном року. Уколико се бетон справља на градилишту цемент се мора чувати у сувим проветреним просторијама подигнут од тла са обавезним окретањем врећа на максимално 15 дана. Све бетонске и армирано бетонске радове изводити према свим важећим прописима са обавезним узимањем пробних коцки за све предвиђене позиције, а по прописима одређеној количини бетона. 
Ручно мешање бетона није дозвољено сем у изузетно малим количинама слабије напрегнутих позиција, а уз обавезно присуство руководиоца радова и уз одговарајућу дозволу надзорног органа. Приликом бетонирања треба водити рачуна да не дође до агрегације материјала и обавезно користити вибратор. За набијање бетона употребити влажан бетон који се уграђује у слојевима дебљине 15 до 20 цм.</t>
  </si>
  <si>
    <t xml:space="preserve">Све темеље прегледати да ли је пре бетонирања арматура правилно постављена, да ли су обале осигуране од евентуалног одрона земље и током бетонирања да арматура буде потпуно обухваћена бетоном (одговарајући заштитни слој бетона). </t>
  </si>
  <si>
    <t>Оплата мора бити урађена од квалитетних дасака (без напрслина) потпуно утегнута да би се добио жељени облик и пресек конструкције. Уколико је пројектом предвиђен натур бетон оплата од дасака мора бити фино рендисана или метална. Бетонска конструкција мора бити задатих пресека и одговарајуће марке бетона предвиђене статичким прорачуном, а оплата се не може демонтирати са одговарајући број дана према прописима. Бетон се мора обавезно неговати према одговарајућој температури, а у случају ниских температура које се сматрају критичним за бетон морају се дозирати одређеним адитивима. Бетонирање се не сме вршити на температурама нижим од дозвољене за бетонирање конструкција.</t>
  </si>
  <si>
    <t xml:space="preserve">Цементна кошуљица (цементни естрих) која се користи као изравњавајући слој преко термо изолације мора бити одговарајуће размере и дебљине са фино пердашеном горњом површином односно како је пројектант предвидео. </t>
  </si>
  <si>
    <t>Израда армирано бетонских АБ тракастих темеља, проширења око стуба у виду темеља самаца. Бетон МБ 30 справљен фабриком бетона. Темеље армирати по пројекту, детаљима и статичком прорачуну. Бетонирање радити преко претходно разастртог шљунка дебљине слоја 10-20 цм. Бетон уградити и неговати по прописима. Арматура се посебно обрачунава. Обрачун по м3.</t>
  </si>
  <si>
    <t>Напомена: Извођач се обавезује да изради пројекат обезбеђења темељне јаме са планом армирања.</t>
  </si>
  <si>
    <t>зидови д=25</t>
  </si>
  <si>
    <t>зидови д=20</t>
  </si>
  <si>
    <t>Бетонирање равних армирано бетонских АБ стубова, димензије 40/40 . Готов бетон МБ30 справљен у фабрици бетона. У цену улази одговарајућа оплата, и помоћна скела. Арматура се посебно обрачунава. Обрачун по м3 уграђеног бетона.</t>
  </si>
  <si>
    <t>Израда и бетонирање крстасто армиране међуспратне конструкције дебљине 18цм. Машинско уграђивање бетона, готов бетон МБ 30 справљен у фабрици бетона. У цену улази израда хоризонталних серклажа у нивоу плоче, одговарајућа оплата, подупирачи и помоћна скела. Бетонирање хоризонталних серклажа, са зубом, обухваћено је посебном позицијом. Арматура се посебно обрачунава. Обрачун по м2 уграђеног бетона.</t>
  </si>
  <si>
    <t>терасе:</t>
  </si>
  <si>
    <t>греде 40/45:</t>
  </si>
  <si>
    <t>греде 40/25:</t>
  </si>
  <si>
    <t>греде 30/35:</t>
  </si>
  <si>
    <t>серклажи 20/20:</t>
  </si>
  <si>
    <t>Спољашна рампа:</t>
  </si>
  <si>
    <t>Надвратници 25 x 25 цм:</t>
  </si>
  <si>
    <t>Надвратници 20 x 20 цм:</t>
  </si>
  <si>
    <t>Израда армирано бетонских надпрозорника,марке бетона МБ 20. Израдити оплату и надпрозорнике армирати по детаљима и статичком прорачуну. Бетон уградити и неговати по прописима. У цену улазе оплата, подупирачи, арматура и помоћна скела. Обрачун по м1 надпрозорника</t>
  </si>
  <si>
    <t>Надпрозорници 25 x 20 цм:</t>
  </si>
  <si>
    <t>изнад шалтера</t>
  </si>
  <si>
    <t>приземље:</t>
  </si>
  <si>
    <t>Тавански простор:</t>
  </si>
  <si>
    <t>Израда армиране цементне кошуљице, дебљине 4 цм,  као подлоге газишта степеништа.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Рабиц плетиво урачунати у цену. Кошуљицу неговати док не очврсне. Обрачун по м2.</t>
  </si>
  <si>
    <t>ТОТАЛ 2:</t>
  </si>
  <si>
    <t>ТОТАЛ 3:</t>
  </si>
  <si>
    <t>Сви тесарски радови морају се изводити у свему према пројекту и детаљима из пројекта.</t>
  </si>
  <si>
    <t>Све оплате морају бити урађене од квалитетне грађе, утегнута и разупрта правилно према прописима. Сви подупирачи морају бити правилно распоређени, повезани са оплатом и утегнути. Пре бетонирања одређене конструкције прегледати оплату, па тек онда дозволити бетонирање. Код натур бетона даске (оплата) морају бити рендисане са правилним саставима без могућности изливања бетона, а на угловима постављати троугласте лајсне, уколико то надзорни орган захтева. Сва оплата, разупирање, подупирање и остало улазе у цену бетонирања. Приликом израде крова мора се поштовати правило да грађа која се користи буде сечена у зимском периоду, осушена са дозвољеном дозом влажности, права без напрслина и трулежи. Уколико је предвиђено пројектом грађу треба премазивати заштитним хемијским средствима. Приликом израде крова мора се водити рачуна, о правилним кровним везама као и правилним наставцима грађе према прописима или како надзор (стручна служба) одреди. Кров треба укламфати на свим карактеристичним местима. Кровна грађа мора бити у класи која је пројектом предвиђено. Сви видни делови грађе обрађују се према пројекту или захтеву надзорног органа.</t>
  </si>
  <si>
    <t>Израда кровне конструкције од суве јелове грађе. Кров израдити у свему према пројекту и детаљима. На местима ослонаца дрвених греда поставити слој Крабероида и греде анкеровати. Урадити све прописане тесарске везе кровних елемената и ојачања од флах гвожђа, котви, завртњева, кламфи и слично. Обрачун по м2 хоризонталне пројекције крова.</t>
  </si>
  <si>
    <t>Сви изолатерски радови морају се изводити искључиво по важећим прописима уз обавезну примену упутства произвођача поједине врсте производа. Приликом извођења хоризонталне хидроизолације зидова и подова, мора се прво прегледати површина на коју се изолација поставља. Површина мора бити равна без рисева и испупчења потпуно чиста и сува, пре постављања изолације премазати битуменом. Приликом израде изолације треба водити рачуна, о свим правилним преклопима и правилним заливањем свих преклопа. Изолација мора бити заштићена са горње стране да не би дошло до оштећења цепања или бушења.</t>
  </si>
  <si>
    <t>Приликом израде вертикалних хидроизолација мора се водити рачуна да површина зида на коју се поставља изолација, мора бити очишћена од малтера, спојнице је потребно равно замазати (уколико се дерсује) очишћен од рисева или омалтерисан како је пројектом предвиђено. Зидови морају бити потпуно суви. Пре наношења изолације обавезно премазати зидове битуменом. Сви састави и преклопи изолације морају се извршити правилно према упутству произвођача. После постављања хидроизолације не смеју се вршити никаква пробијања зидова и цепања изолације. После постављања вертикалне хидроизолације, исту треба заштитити према пројекту или извршити обзиђивање са спољне стране или извршити насипање шљунком или земљом очишћена од евентуалног ломљеног материјала, ломљених блокова и слично, са правилним насипањем у слојевима и контролисаним насипањем поред хидроизолација. Све термоизолације подова, зидова и плафона извршити у свему према пројекту са коришћењем упутства произвођача појединих производа.</t>
  </si>
  <si>
    <t>Набавка и полагање ПВЦ фолије преко слоја термоизолације и/или стиропора (као слоја пливајућег пода), а као заштита термоизолације и/или стиропора при изливању цементног естриха. Фолију положити са преклопом од 10 цм на спојевима. Обрачун по м2.</t>
  </si>
  <si>
    <t>Набавка постављање плоча од експандираног полистирена (стиропора) дебљине д=15цм, као термоизолације подне плоче дела приземља. Стиропор 25кг/м3. Стиропор мора бити уграђен "кнап", плоча до плоче без и најмањег ваздушног простора између плоча. Обрачун по м2.</t>
  </si>
  <si>
    <t>ТОТАЛ 9:</t>
  </si>
  <si>
    <t>ГРАЂЕВИНСКА СТОЛАРИЈА</t>
  </si>
  <si>
    <t xml:space="preserve">Пре израде и уграђивања прозора, врата и осталих столарских елемената извршити мерење на лицу места свих отвора, ширине и висине да ли су зидарски отвори правилно израђени, па тек онда издати налог за израду столарије. Столарија мора бити израђена од дрвета И класе без испадајућих чворова, правилних састава дрвета у свему према задатој шеми столарије са правилно изведеним фалцовима за предвиђено стакло снабдевено одговарајућим оковима, квакама и бравама за закључавање истих. </t>
  </si>
  <si>
    <t>Сва столарија пре допреме на објекат мора бити прегледана да ли је урађена у свему према шеми или упутству стручних служби и да ли је уграђено стакло предвиђено пројектом. Уколико се столарија фарба у радионици пре уграђивања мора се допремити на градилиште са уграђеном заштитом од оштећења. Уградња столарије на објекту врши се према прописима и упутствима произвођача. Уколико на објекту мора да дође до евентуалних промена приликом израде мора се предходно затражити сагласност пројектанта и надзорног органа. Уколико се уместо дрвене столарије ради пластична или алуминијумска столарија мора се водити рачуна о квалитету пластике односно алуминијума, а све остало важи као и код дрвене столарије.</t>
  </si>
  <si>
    <t>прозори:135*180</t>
  </si>
  <si>
    <t>прозори:140*180</t>
  </si>
  <si>
    <t>прозори:200*180</t>
  </si>
  <si>
    <t>ПВЦ столарија у мат браон боји</t>
  </si>
  <si>
    <t>80 x 200 цм</t>
  </si>
  <si>
    <t xml:space="preserve"> 90 x 200 цм</t>
  </si>
  <si>
    <t>100 x 200 цм</t>
  </si>
  <si>
    <t xml:space="preserve">Једнокрилна унутрашња метална врата. Крило врата је обложено једнострано челичним лимом. Поставити три шарке по крилу, оков и укопавајућу браву са два кључа.
</t>
  </si>
  <si>
    <t>ТОТАЛ 8:</t>
  </si>
  <si>
    <t>Пре израде и уграђивања браварских прозора, врата као и осталих браварских елемената обавезно је извршити проверу мера на лицу места као и да ли су уграђени одговарајући елементи у конструкцију ради уграђивања браварије. 
Сви браварски прозори и врата, ограде и остало радити према шеми браварије од кутијастих профила (обичан челик или елоксираног алуминијума) са правилним саставима и фалцевима за стакло које се уграђује без рисева на варовима. Браварија се уграђује обојена заштитном бојом минимизираном или квалитетно обојено и застакљено али онда мора бити заштићено од оштећења боје, уграђује се према прописима за већ уграђене плочице или према упутству произвођача. Код израде браварија за ограде мора се водити строго рачуна на начин како се ограда уграђује. Код уградње кровова или сличних конструкција од челичних профила обавезно конструкције радити према статичком рачуну са извршеним тестирањем варова у свему према прописима па тек онда приступити настављању радова и бојењу конструкције. Сви варови морају бити испуњени, а рисови очишћени. Сва метална степеништа подлежу истим прописима.</t>
  </si>
  <si>
    <t>Ограда за рампу
Спољашња ограда испред главног улаза од кованог гвожђа у боји графита. Конструкција ограде: стубови и испуна међустубних простора од гвожђа. Висина ограде х=110цм. Рукохват цеви и стубићи ограде су пречника 50мм и дебљине 2мм, а испуна цеви пречника 16мм. Вертикале ограде анкеровати у плочу рампе одозго. Спој цеви и плоче покрити одговарајућим розетама</t>
  </si>
  <si>
    <t>Све лимарске радове извести од квалитетног лима (гаранција квалитета атест) са свим правилно изведеним саставима као и летовања свих пробоја кроз лим. Све увале, спој зида и крова и остали опшиви морају бити правилно фалцовани да не би дошло до преливања воде преко лима. Уколико је лим поцинкован може се предвидети његово бојење. Сви састави челика и поцинкованог лима морају бити обавезно поцинковани. 
Код израде олука (хоризонтале и вертикале) постављају се на челичним кукама и обухватницама које морају бити заштићене заштитном бојом и обојене у тону по избору пројектанта или надзорног органа. Код покривања крова лимом мора се код сви већ наведених радњи обавезно водити рачуна о естетском изгледу шава. Све опшиве око димњака одрадити по свим прописима. Приликом монтаже водити рачуна да не би дошло до механичких оштећења лима, уколико до тога дође оштећени елемент треба заменити. У цену позиције лимарије урачуната су израда и уградња и сва причвршћивања за конструкцију и летовања.</t>
  </si>
  <si>
    <t>ТОТАЛ 10:</t>
  </si>
  <si>
    <t>ТОТАЛ 11:</t>
  </si>
  <si>
    <t>КЕРАМИЧАРСКИ РАДОВИ</t>
  </si>
  <si>
    <t>Керамички радови се изводе према пропису и пројекту за ту врсту радова. Зидне керамичке плочице уграђују се у формату који одређује пројектант или замена уз сагласност надзорног органа и пројектанта. Керамичке плочице морају бити оштрих правилних ивица без оштећења на предњој страни (лице), а уграђују се на цементном малтеру или лепку (према упутству произвођача). У цену урачунато и фуговање истих, плочице морају да имају атест. 
Подне керамичке плочице уграђују се на цементном малтеру или лепку у зависности од намене просторија и упутству произвођача, а плочице које се уграђују ван објекта морају да буду отпорне на атмосферске утицаје и да нису идеално глатке тако да не би дошло до клизања пролазника. Плочице у производним халама морају да буду отпорне на хемијске утицаје. Фуговање свих подних плочица врши се према намени простора који се поплочава. Димензију подних плочица одређује пројектант, а евентуалну замену плочица може одредити пројектант или надзорни орган.</t>
  </si>
  <si>
    <t>Постављање сокле од подних керамичких плочица, висине до 15цм. Плочице лепити лепком за плочице. Подлога мора бити равна и припремљена. Постављене плочице фуговати и соклу очистити. У цену улази и набавка плочица. Обрачун по м1 сокле.</t>
  </si>
  <si>
    <t>чела степеника:</t>
  </si>
  <si>
    <t>сокла степеништа са подестом х=15цм:</t>
  </si>
  <si>
    <t>плато:</t>
  </si>
  <si>
    <t>степениште:</t>
  </si>
  <si>
    <t>Подови који су пројектом предвиђени или по налогу надзорног органа изводе се на већ припремљеној подлози од: бетона, ситнозрног бетона или фино пердашене цементне кошуљице на унапред одређеној висинској коти одређеној пре уграђивања завршног пода како не би дошло до грешака. Под који се уграђује мора бити изведен према стандарду за ту врсту пода, без оштећења са финалном обрадом. У случају састава два неистоветна пода или на дилатацији објекта (уколико се прагом не покрива) у поду се обавезно уграђује месингана трака која одваја две површине. Подови који се изводе после кречења несмеју се изводити тако да се оштети већ финално обојена површина. Уколико се ради о уграђивању паркета, паркет мора бити сув одређене врсте и квалитета (класе) са завршним хобловањем и лакирањем три пута уколико је то пројектом тражено. Паркет се несме уклештити између зидова да неби дошло до подизања паркета. За све подове који нису обухваћени овим описом, а буду предвиђени важе технички прописи и упутства произвођача за ту врсту радова.</t>
  </si>
  <si>
    <t>Набавка и постављање подне облоге ламинат, лепљен, дебљине 8,2 мм, за најтежа оптерећења (класа 31),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</si>
  <si>
    <t>ТОТАЛ 13:</t>
  </si>
  <si>
    <t>Укупно:</t>
  </si>
  <si>
    <t>Плоче ГКБ 12,5 мм.</t>
  </si>
  <si>
    <t xml:space="preserve">Обрачун по м² обухвата испоруку и монтажу плоча, </t>
  </si>
  <si>
    <t xml:space="preserve">потконструкције, испуну спојева, бушење отвора за расвету, </t>
  </si>
  <si>
    <t>завршне лајсне.</t>
  </si>
  <si>
    <t xml:space="preserve">Радове извести након развода електроинсталација истовремено са </t>
  </si>
  <si>
    <t>постављањем термоизолације.</t>
  </si>
  <si>
    <t>Постављање носача за обострану монтажу лаганих умиваоника, систем КНАУФ W232. Носач за монтажу умиваоника са обе стране зида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ЦW 75. Носач поставити по упутству произвођача. Обрачун по комаду носача умиваоника.</t>
  </si>
  <si>
    <t>Израда потконструкције за монтажу довратника за једнокрилна врата у гипс картонском зиду, дебљине 100 мм, за висину зида до 3,75 м. Потконструкцију извести од профила УА 50 (75, 100), дебљине 2 мм са комплетом припадајућих утичних угаоника или комбинацијом профила ЦW УW 50 (75, 100), дебљине 0,6 мм. Обрачун по комаду довратника.</t>
  </si>
  <si>
    <t>ком.</t>
  </si>
  <si>
    <t>ТОТАЛ 14:</t>
  </si>
  <si>
    <t>МОЛЕРСКО ФАРБАРСКИ РАДОВИ</t>
  </si>
  <si>
    <t>Кречење зидова и плафона се изводи у зависности од намене и функције просторија, а према захтеву пројектанта и надзорног органа. 
Пре почетка кречења (уколико није предвиђено глетовање) потребно је извршити крпљење (китосање) зидова и плафона као и све предрадње које су потребне за ту врсту радова. После финалног кречења зидови морају бити финално обрађени са равномерним наношењем тона боје и без могућности да се та боја скида са зидова. Исто поступати и са посним бојењем као и са поликолором. Уколико се у објекат наносе на зидовима и плафонима гипсарски радови мора се постопати према упутству произвођача гипсарских радова или како је то већ пројектом предвиђено. Сва остала бојења столарије, браварије и осталог морају се придржавати стандарда и упутстава произвођача за обичне и специјалне боје.</t>
  </si>
  <si>
    <t>Бојење са глетовањем зидова,  стубова, и видљивих греда полудисперзивним бојама. 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</si>
  <si>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АБ коленасте греде:</t>
  </si>
  <si>
    <t>Бојење са глетовањем малтерисаних плафона, полудисперзивним бојама. Малтерисане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</si>
  <si>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зидова, полудисперзивним бојама. Гипскартонске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</si>
  <si>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плафона, полудисперзивним бојама. Гипскартонске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</si>
  <si>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ТОТАЛ 15:</t>
  </si>
  <si>
    <t>Набавка и уградња металних хромираних ознака римских бројева за све етаже објекта, у степенишном простору. Ознаке се монтирају на зиду, сваке етаже. Дизајн, место монтаже и изглед ознака уз консултације са пројектантом. Обрачун по ком.</t>
  </si>
  <si>
    <t>Набавка и уградња система огласне табле са списком свих просторија у објекту. Систем треба да има могућност лаке замене података из списка. Табла треба да садржи списак свих просторија са следећим подацима: број спрата на коме се налази просторија, број просторије, и име службе која је смештена у тој просторији. Табла се монтира у холу приземља, дизајн, место монтаже и изглед огласне табле уз консултације са пројектантом и инвеститором. Обрачун по ком.</t>
  </si>
  <si>
    <t>Набавка и постављање отирача (брисача) испред главног улаза, и у ветробрану, од кокосовог влакна, или другог материјала, димензије 80x100цм. Димензије, материјал и изглед отирача уз консултације са пројектантом и инвеститором. Обрачун по ком.</t>
  </si>
  <si>
    <t>ТОТАЛ 16:</t>
  </si>
  <si>
    <t>РЕКАПИТУЛАЦИЈА</t>
  </si>
  <si>
    <t>ТОТАЛ 4:</t>
  </si>
  <si>
    <t>ТОТАЛ5:</t>
  </si>
  <si>
    <t>ТОТАЛ6:</t>
  </si>
  <si>
    <t>ТОТАЛ7:</t>
  </si>
  <si>
    <t>ТОТАЛ8:</t>
  </si>
  <si>
    <t>ТОТАЛ9:</t>
  </si>
  <si>
    <t>ТОТАЛ10:</t>
  </si>
  <si>
    <t>ТОТАЛ 12:</t>
  </si>
  <si>
    <t>ТОТАЛ1 5:</t>
  </si>
  <si>
    <t>ТОТАЛ 17:</t>
  </si>
  <si>
    <t>ТОТАЛ 18:</t>
  </si>
  <si>
    <t>ТОТАЛ 19:</t>
  </si>
  <si>
    <t>Монтажа и демонтажа металне цевасте фасадне скеле, за радове у свему према важећим прописима и мерама ХТЗ-а. Скела мора бити статички стабилна, анкерована за објекат и прописно уземљена. На сваких 2,00м висине поставити радне платформе од фосни. Са спољне стране платформе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м2 вертикалне пројекције монтиране скеле.</t>
  </si>
  <si>
    <t>Израда и постављање табле обавештења да се изводе грађевински радови, са основним подацима о објекту, инвеститору и пројектанту. Табла је димензија 200 x 300цм. Све у складу са "Правилником о изгледу, садржини и месту постављање градилишне табле", Сл. гласник РС", бр. 4/10, и уз консултације са надзорним органима и пројектантом. Обрачун по комаду табле.</t>
  </si>
  <si>
    <t>РАДОВИ НА РУШЕЊУ</t>
  </si>
  <si>
    <t>I Спрат.</t>
  </si>
  <si>
    <t>II Спрат</t>
  </si>
  <si>
    <t>I спрат</t>
  </si>
  <si>
    <t>II спрат</t>
  </si>
  <si>
    <t>БЕТОНСКИ И АРМИРАНИ БЕТОНСКИ РАДОВИ</t>
  </si>
  <si>
    <t>I спрат:</t>
  </si>
  <si>
    <t>II спрат:</t>
  </si>
  <si>
    <t xml:space="preserve"> </t>
  </si>
  <si>
    <t>Поплочавање косе рампе испред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</si>
  <si>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Зид д=100 мм, профили CW 50 мм, плоче 4ГКБ 12,5 мм.</t>
  </si>
  <si>
    <t>Постављање носача за лагани умиваоник, систем КНАУФ W231. Носач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CW 50. Носач поставити по упутству произвођача. Обрачун по комаду носача умиваоника</t>
  </si>
  <si>
    <t>За профиле CW 75.</t>
  </si>
  <si>
    <t>ЗЕМЉАНИ РАДОВИ</t>
  </si>
  <si>
    <t>прозори:180*180</t>
  </si>
  <si>
    <t xml:space="preserve">Једнокрилна врата
Унутрашња једнокрилна врата од медијапана. Довратник је израђен од медијапана а вратно крило је равно (без фалца) и пресвучено меламинском фолијом у тону по избору пројектанта. Крило је састављено од две медијапанске плоче дебљине 6мм између којих се налази рам од јеловине испуњен папирним саћем. Дебљина крила је 42мм. Довратник извести у ширини зида и опшити лајснама. Поставити оков, браву типа АГБ са обичним кључем и кваком по избору пројектанта и три бродске шарке по крилу. Водити рачуна да један кључ не откључава сва врата. Врата заштитити безбојним премазом за импрегнацију. На поду поставити гумени одбојник. Врата се уграђују поступком суве монтаже.
</t>
  </si>
  <si>
    <t>АП1</t>
  </si>
  <si>
    <t>АП2</t>
  </si>
  <si>
    <t>АП3</t>
  </si>
  <si>
    <t xml:space="preserve">Улазна врата од елоксираног алуминијума, тон металик, са термо прекидом, испуном и системом дуплог заптивања ЕПДМ гумом. Застакљена сигурносним стаклом д=6мм. Врата снабдети потребним оковом од елоксираног алуминијума за отварање према шеми, укопавајућом бравом са два кључа, три шарке по крилу и механизмом за самозатварање.
</t>
  </si>
  <si>
    <t>АП4</t>
  </si>
  <si>
    <t>Поткровлље:</t>
  </si>
  <si>
    <t>прозори:200*160</t>
  </si>
  <si>
    <t>прозори:60*80</t>
  </si>
  <si>
    <t>Набавка и постављање појединачног кровног прозора, "Велукс" тип ГЗЛ, димензија 88/126 цм, са алуминијумском опшивком прозора ознаке ЕДМ, укупне висине профила до 90 мм. Прозор је израђен од нордијске боровине, заштићен једним слојем лака и застакљен термо изолационим флотираним стаклом 4+16+4 мм, пуњеним аргоном. На врху прозора налази се вентилациони отвор са филтером. Крило се обрће око средње хоризонталне осе са ручицом на врху крила.У цену улази и одговарајућа парна брана ознаке ББX. Прозор поставити по упутству произвођача. Обрачун по комаду прозора.</t>
  </si>
  <si>
    <t>облагање делова фасаде:</t>
  </si>
  <si>
    <t>облагање стубова на фасади:</t>
  </si>
  <si>
    <t>д=14цм</t>
  </si>
  <si>
    <t>објекат 2</t>
  </si>
  <si>
    <t>Израда и постављање пулта испред шалтера од алуминијума. Пулт израдити од алуминијума, по детаљима и пројекту. Оков, шарке, бравице, ситан прибор и финална обрада по избору пројектанта.</t>
  </si>
  <si>
    <t xml:space="preserve">Израда рабициране и глетоване цементне кошуљице дебљине 4 цм као завршног пода тавнског простора. Подлогу пре наношења кошуљице очистити и опрати. Малтер за кошуљицу справити са просејаним шљунком "јединицом", размере 1:3. Кошуљицу армирати рабиц плетивом, постављеним у средини слоја. Горњу површину кошуљице глетовати до црног сјаја и неговати док не очврсне. Обрачун по м2 кошуљице. </t>
  </si>
  <si>
    <t>ископ испод темељних трака и проширења у виду темеља самаца до коте терена</t>
  </si>
  <si>
    <t>Набавка, чишћење, исправљање, сечење и савијање, пренос, постављање и везивање арматуре у свему према статичком прорачуну и детаљима арматуре, без обзира на пречник, сложеност и врсту челика. Количина арматуре је дата приближно на бази количина армираног бетона. Тачна количина даће се по изради детаља и спецификацији исте. Глатка, ребраста и мрежаста арматура. Обрачун по кг.</t>
  </si>
  <si>
    <t>Набавка и уградња унутрашње ограде на степеништу. Конструктивне вертикале су од инокс кутијастих профила 50x50мм.Вертикале се преко специјалног везног елемента фиксирају за под. Рукохват је иноx цев Ø50мм. Испуна је рам са хоризонталном поделом од иноx флаха 8x40 мм. Ограда се састоји из косих и хоризонаталних сегмената, у свему према шеми. Обрачун по м1.</t>
  </si>
  <si>
    <t>рукохват</t>
  </si>
  <si>
    <t>Ограда:</t>
  </si>
  <si>
    <t>темељи самци</t>
  </si>
  <si>
    <t>кг</t>
  </si>
  <si>
    <t>зидови</t>
  </si>
  <si>
    <t>плоче</t>
  </si>
  <si>
    <t>греде и стубови:</t>
  </si>
  <si>
    <t>степениште :</t>
  </si>
  <si>
    <t>Набавка и монтажа спуштеног плафона од минералних плоча у белој боји типа АМФ Тксерматеx Феинстратос, систем Ц, димензије плоча су 600x600, дебљина 15 мм.
Плафонске плоче упуштених (ВТ) ивица, полажу се у челичну потконструкцију ширине 24 мм, ободни профил је 19/24 мм. Потконструкција је у белој боји сличној РАЛ 9010. Висина спуштања плафона је око  20 цм. 
Звучна изолација плафона износи Дн,ц,w = 34 дБ према ЕН 20140-9. Плоче су отпорне на релативну влажност ваздуха до 95%. Плоче су у класи негоривих грађевинских материјала А2-с1,д0 у складу са СРПС ЕН 13501-1. Висина спуштања до 30 цм. Обрачун по м2 уграђеног плафона са носећом подконструкцијом и везним материјалом.</t>
  </si>
  <si>
    <t>Израда и уградња металних типксих конзола за заставе. Зидну челичну конзолу израдити од челичног профила фи 35-45 мм, са анкером од пљоштег челика и анкерованих за зид. Конзолу минизирати у два слоја и бојити бојом за метал у два слоја, боје и тона по избору пројектанта. Обрачун по ком конзоле.</t>
  </si>
  <si>
    <t>Облагање чела и сокле  степеница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м1.</t>
  </si>
  <si>
    <t>Облагање подеста и газишта степеништа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</si>
  <si>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Поплочавање улазног платоа и спољашнег степеништа (чело + газиште),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</si>
  <si>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Постављање подних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</si>
  <si>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 xml:space="preserve">Набавка и уградња рукохвата на степеништу. Рукохват је инокс цев Ø50мм. Фиксирање је преко анкер плоче и везног елемента - специјално савијеног инокс флаха. Обрачун по м1.
</t>
  </si>
  <si>
    <t>Израда и постављање застакљених ПВЦ прозора са термопрекидом. Прозоре израдити од високоотпорног тврдог ПВЦ-а са вишекоморним системом профила, са ојачаним челичним нерђајућим профилима, по шеми столарије и детаљима. Прозоре дихтовати трајно еластичном ЕПДМ гумом, вулканизованом на угловима. Оков и боја прозора, по избору пројектанта. Крила прозора застаклити термо изолационим стаклом д=4+15+4 мм и дихтовати ЕПДМ гумом. Прозор са свим атестима, а посебно атестом за коефициент пролаза топлоте У макс=1,5 W/(м²×К)
Карактеристике прозора:
- ПВЦ профили 5-коморни, коефициент пролаза топлоте Уф=1,3-1,5 W/(м²×К)
- стакло 2-струко, нискоемисионо, 4-15-4 мм (Ар), коефициент пролаза топлоте Уф=1,3 W/(м²×К)
Обрачун по комаду прозора.</t>
  </si>
  <si>
    <t>Набавка постављање плоча од експандираног полистирена (стиропора) дебљине д=2 цм, на делу подова, I и II спрата као еластичног слоја пливајућег пода. Стиропор подићи уз зидове у висини пода у истој дебљини или дебљине 1цм, што се неће посебно плаћати. Стиропор 25кг/м3. Стиропор мора бити уграђен "кнап", плоча до плоче без и најмањег ваздушног простора између плоча. Обрачун по м2.</t>
  </si>
  <si>
    <t>Набавка и уградња металне хромиране ознаке са арапским бројем висине 15 цм за означавање броја зграде. Обрачун по ком.</t>
  </si>
  <si>
    <t>д=8цм</t>
  </si>
  <si>
    <t>Набавка и постављање камене вуне у облику полутврдих плоча, "Вунизол П плус", густине 100 кг/м3. Камену вуну поставити између рогова дебљине 11цм, на крову у делу негрејаног таванског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</si>
  <si>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густине 100 кг/м3. Камену вуну поставити између рогова у висини рога (д= 14 цм), и испод њих по косини у дебљини од 8 цм у делу крова изнад степенишног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</si>
  <si>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дебљине 16 цм, густине 160 кг/м3, као термоизолације плоче изнад отвореног пролаза (рампе и главниог улаза). Камену вуну поставити као термо и звучну изолацију и противпожарну заштиту фасадних зидова, по детаљима и упутству пројектанта. Обрачун по м2 изведене изолације</t>
  </si>
  <si>
    <t>Набавка постављање плоча од експандираног полистирена (стиропора) дебљине д=13 цм, као термоизолације таваничне плоче II спрата. Стиропор 25кг/м3. Стиропор мора бити уграђен "кнап", плоча до плоче без и најмањег ваздушног простора између плоча. Обрачун по м2.</t>
  </si>
  <si>
    <t>Набавка и постављање камене вуне у облику полутврдих плоча, "Вунизол П плус", дебљине 7цм, густине 100 кг/м3. Камену вуну поставити као термо и звучну изолацију и противпожарну заштиту  зидова поткровља између  степенишног простора и таванског простора, по детаљима и упутству пројектанта. Обрачун по м2 изведене изолације.</t>
  </si>
  <si>
    <t>Бојење са глетовањем малтерисаних косих степенишних плоча, полудисперзивним бојама. Малтерисане косих плоча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</si>
  <si>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испод АБ подне плоче</t>
  </si>
  <si>
    <t>Малтерисање венаца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</si>
  <si>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стубови:</t>
  </si>
  <si>
    <t>Малтерисање слободностојећих стубова таванског простора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</si>
  <si>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Постављање зидних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и вертикалне. Постављене плочице фуговати и очистити пиљевином. Плочице се постављају до плафона. Зидови мокрих чворова. У цену улази и набавка плочица. Обрачун по м2.</t>
  </si>
  <si>
    <t xml:space="preserve"> ПРИПРЕМНО ЗАВРШНИ РАДОВИ</t>
  </si>
  <si>
    <t>ТОТАЛ 5:</t>
  </si>
  <si>
    <t>ТОТАЛ 6:</t>
  </si>
  <si>
    <t>ТОТАЛ 7:</t>
  </si>
  <si>
    <t>TOTAL 1</t>
  </si>
  <si>
    <t>ТОТАЛ 16</t>
  </si>
  <si>
    <t>IIспрат:</t>
  </si>
  <si>
    <t>Израда преградних зидова дебљине 100 мм,једнострука метална подконструкција обложена обострано двоструким влагоотпорним гипс плочама ГКБИ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 Саставе обрадити глет масом и бандаж тракама по упутству произвођача..За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</si>
  <si>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Облагање косих плафона  поткровља противпожарним гипс картонским плочама ГКФ 15 мм, са израдом једноструке челичне потконструкције, систем Кнауф Д612. Разред ватроотпорне заштите Ф 30, само са доње стране. Једноструку потконструкцију израдити од монтажних поцинкованих профила ЦД 60x27 мм директно причвршћених за кровну конструкцију и обложити гипс картонским плочама, по пројекту и упутству произвођача.За уграђени плафон обезбедити одговарајући атест. Саставе обрадити глет масом и бандаж тракама по упутству пројектанта. У цену улази и радна скела. Обрачун по м2 постављене површине.</t>
  </si>
  <si>
    <t>Израда  влагоотпорног спуштеног плафона са дрвеном двоструком потконструкцијом и облагање гипс картонским плочама ГКБ 12,5 мм, систем Кнауф Д111. Двоструку потконструкцију израдити од носивих и монтажних летви пресека 50x30 мм причвршћених висилицама за носиви плафон и обложити гипс картонским плочама, по пројекту и упутству произвођача.За уграђени плафон обезбедити одговарајући атес. Саставе обрадити глет масом и бандаж тракама по упутству пројектанта. У цену улази и радна скела.Влагоотпорне спуштене плафоне радити у санитарним чворовима. Обрачун по м2 постављене површине.</t>
  </si>
  <si>
    <t>Израда преградног зида дебљине 100 мм, једнострука метална потконструкција обложена обострано двоструким гипс картонским плочама ГКБ 12,5 мм, систем Кнауф W112. Преградни неносив зид израдити од поцинкованих профила ЦW 50, поставити камену вуну дебљине 50 мм и обложити двоструким гипс картонским плочама, по пројекту и упутству произвођача. Саставе обрадити глет масом и бандаж тракама по упутству пројектанта.Минимална звучна заштута 54dB Или производ сличног произвођача са истим карактеристикама..За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</si>
  <si>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Набавка и уградња система металних хромираних, или алуминијумских ознака у објекту. Систем треба да има могућност лаке замене података. Ознаке треба да садржи: арапски број просторије и назив просторије. Ознаке се монтирају на вратима канцеларија , или изнад врата. Дизајн и изглед ознака уз консултације са пројектантом и инвеститором.Обрачун по ком.</t>
  </si>
  <si>
    <t>облагање сокле на делу демит фасаде у висини од 50 цм</t>
  </si>
  <si>
    <t>Набавка и израда хоризонталне круте хидроизолације подова у мокрим чворовима,чајној кухињи и на тераси, преко заглађене бетонске подлоге. Хидроизолација - "СикаТопСеал107" - двокомпонентни, водонепропусни, полимер модификовани цементни малтер, ли производ другог произвођача сличних карактеристика. Наноси се четком или глетерицом у 2-3 слоја, у међусобно управним правцима. Изолацију повући уз зидове у висини од 20-30цм, а зидове у овој висини задерсовати. У цену улази сав потребан материјал, по детаљима и техничким листовима произвођача. Све у складу са одобрењем надзорног органа и пројектанта. Обрачун по м2.</t>
  </si>
  <si>
    <t>Малтерисање зидова који се завршно облажу керамиком, грубо,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Маллтерисати зидове до спуштеног плафона У цену улази и помоћна скела. Обрачун по м2 малтерисане површине.</t>
  </si>
  <si>
    <t>Малтерисање Аб коленастих греда у таванском простору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</si>
  <si>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Nabavka, transport i montaža. Troslojni montažni dimnjački sistem SCHIEDEL tip UNI ili ekvivalentan namenjen za sva ložišta i sve vrste goriva. Sastavljen je od: dimnjačke cevi od tehničke keramike, izolacije oko cevi dimnjaka od kamene vune min.spec.težine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je za prečnik dimnjačke cevi fi20cm=36x36cm. Cenom je obuhvaćena i ugradnja plašteva koji omogućavaju statičku stabilnost dimnjaka iznad krova (plaštevi sa otvorima za armaturu).Sistem mora da poseduje sve sertifikate i ateste u skladu sa nacionalnim i/ili EN standardima. Obračun po m1.</t>
  </si>
  <si>
    <t>Zidanje sabirnog ventilacionog kanala, tipa "Šund", u produžnom malteru. Pre početka zidanja spojnice dobro pokvasiti i paziti da melter ne iscuri, da unutrašnja strana kanala ostane glatka. Kanal izolovati ter papirom na mestu prolaska kroz međuspratnu konstrukciju, da se obezbedi rad kanala. Na vrhu kanala izvesti dimnjačku kapu, isisivač. U cenu ulaze svi fasonski elementi za priključak i pomoćna skela. Obračun po m1 komplet izvedenog kanala.</t>
  </si>
  <si>
    <t>ЗЕМАЉАНИ РАДОВИ</t>
  </si>
  <si>
    <t>Облагање SCHIEDEL димњака, суво малтерисање танкослојним лепљењем, гипс картонских плоча ГКБ дебљине 12,5 мм, систем Кнауф W611. Гипс картонске плоче залепити танкослојно Фугенфüллер лепком. Саставе обрадити глет масом и бандаж траком, по упутству пројектанта. За уграђену облогу обезбедити одговарајући атест.У цену улази и радна скела. Обрачун по м2 постављене површине.</t>
  </si>
  <si>
    <t>Венац:</t>
  </si>
  <si>
    <t>Обрада фасаде декоративним малтером са зарибавањем у тону беле кафе. Подлога фасаде мора бити здрава и сува. Подлогу очистити и импрегнирати изолационом масом, ради боље везе. Нанети молерском четком у једном слоју, а ако подлога јако упија премазати два пута. На осушену подлогу нанети малтер, направљен и добро измешан да се добије једнолична и конзистентна маса. Припремљен материјал нанети глет хоблом у дебљини слоја до максималне величине зрна. Структуру малтера извући кружним зарибавањем гуменом глет хоблом или вертикалним или хоризонталним зарибавањем. Отворе и друго заштитити ПВЦ фолијом што улази у цену, али се отвори не одбијају од површине фасаде. Обрачун по м2 ортогоналне површине фасаде.</t>
  </si>
  <si>
    <t>Фасада:</t>
  </si>
  <si>
    <t>носач за вертикални олук поред улазне рампе</t>
  </si>
  <si>
    <t>Набавка и постављање пресованог црепа типа КОНТИНЕНТАЛ ПЛУС или сл. у браон енгоби. Цреп мора задовољити све техничке прописе и стандарде. Утрошак црепа 12 ком/м². Летвисати према упутству произвођача. Препоручени размак летава 36 цм. Цреп постављати у мрежном слогу. Причвршћава се сваки трећи цреп. Обавезно причвршћивање првог реда црепа код стрехе, последњег реда црепа код слемена, сваког сеченог црепа код гребена, код вертикалних продора ( димних и вентилационих вертикала, кровних прозора). Обавезно постављање вентилационих контра летви целом дужином свих рогова. Препоручене димензије контра летве 5x5цм или минимално 5x3цм. Летвисање крова попречно преко контра летви димензија 5x3цм. Летве морају бити међусобно паралелне. Обавезно постављање вентилационог црепа. Вентилациони цреп се поставља у другом реду испод слемена на растојању сваки трећи цреп као и дуж гребена на исти начин. Вентилационе црепове код гребена постављати до половине дужине гребена почев од врха слемена и паралелно са гребеном. Обрачун по м² постављене површине.</t>
  </si>
  <si>
    <t>Покривање слемена и гребена се врши керамичким жлебњацима (жлебњак у браон енгоби). На почетку гребена обавезно поставити почетне жлебњаке у браон енгоби  који се причвршћују звонастим завртњем. На споју два гребена са слеменом обавезно поставити трокраки разделни керамички елемент у браон енгоби који се причвршћује звонастим завртњем. Постављање се изводи сувом монтажом уз употребу стандардних вентилационих елемената који омогућавају довољну вентилацију крова. Жлебњаци се причвршћују за слеме и гребен копчама за жлебњак испод којих се поставља алуминијумска слемено-гребена трака (АЛУ РОЛЕ 280 мм) преко слемено гребене летве димензија 3x5 цм, која се ослања на држач слемено-гребене летве koji je подесив по висини. Ставка обухвата набавку и монтажу слемењака, алуминијумске вентилационе траке за слеме и гребен, копче за причвршћивање жлебњака као и држаче слемено-гребене летве подесиве по висини. Копче за жлебњак и алуминијумску слемено-гребену траку користити у браон боји.Обрачун по м1.</t>
  </si>
  <si>
    <t>Израда сокле од неармираног бетона МБ20., као подлоге фасaдне термоизолације, висина сокле х=19 цм.  Бетон уградити и неговати по прописима. У цену улазе: једнострана оплата, арматурна мрежа, и помоћна скела. Обрачун по м3 уграђеног бетона.</t>
  </si>
  <si>
    <t>заштитна мрежица:</t>
  </si>
  <si>
    <t>снегобран</t>
  </si>
  <si>
    <t>Набавка и уградња додатне опреме.Набавка и уградња типске ПВЦ заштитне мрежице против птица 100 мм у браон боји (ролна 5 м). Мрежица се монтира по читавој дужини стрехе и спречава улазак птица, инсеката у вентилациони слој за проветравање крова. Мрежицу фиксирати завртњима или ексерима. Набавка и уградња металних снегобран за КОНТИНЕНТАЛ ПЛУС цреп – Д 50 браон боје. Снегобрани се постављају у другом и трећем реду од стрехе сваки трећи цреп а на осталој површини крова (1,5ком/м²). На 1,5 м од врха крова према стрехи није потребно постављати снегобране. Уградњу извршити према упутству  произвођача, заједно са свим потребним прибором и транспортом.Обрачун снегобрана паушално,</t>
  </si>
  <si>
    <t xml:space="preserve">Израда танкослојног система контактне фасаде (ЕТICS) плочама од камене минералне вуне, произведене у складу са стандардом ЕN 13162, минималне топлотне проводљивости λ=0.035 W/мК, класе дозвољеног одступања дебљине мин Т5, класе негоривости А1, декларисане притисне чврстоће при 10%-тном сабијању 30кPа, деламинације 10кPа (МW - ЕN 13162 - Т5 - CS(10)30 - ТR10 - WS - WL(P) ),дебљине према прорачуну грађевинске физике.                                                                                                  Пре постављања првог реда плоча, прво поставити алуминијумски перфорирани профил ширине једнаке дебљини камене минералне вуне који причвршћујемо типловима на размацима од 30-50цм. Затим нанети полимер-цементни лепак за камену минералну вуну. Плоче поставити тесно једну уз другу.                                                                                                 </t>
  </si>
  <si>
    <t xml:space="preserve">Плоче додатно механички причврстити типловима са челичним нерђајућим вијцима или клиновима 6-8ком/м2 (тип и дужину типла одредити у зависности од подлоге - у свему према препорукама произвођача типлова). На све углове објекта и око отвора поставити угаоне профиле са интегрисаном мрежицом а дијагонале отвора на фасади додатно ојачати постављањем дијагоналне арматуре, мрежице од стаклених влакана дим 20x40цм. Предвидети и профиле за спој са прозором, окапне и остале потребне профиле. На плоче од камене минералне вуне нанети И слој полимер-цементног лепка у који се утискује арматура, мрежица од стаклених влакана алкално отпорна, са преклопом од мин 10цм. Након тога се наноси ИИ слој лепка као слој за глетовање (дебљине слојева лепка и време сушења према упутству произвођача лепка). После сушења лепка, равномерно по целој површини, нанети подлогу за завршни слој. </t>
  </si>
  <si>
    <t>Овом позицијом обухватити набавку, транспорт и уградњу целокупног материјала као и употребу лаке фасадне скеле.Обрачун је по м2.</t>
  </si>
  <si>
    <t>д=15цм</t>
  </si>
  <si>
    <t xml:space="preserve">д=5цм на АБ стубовима </t>
  </si>
  <si>
    <t>Набавка и израда хоризонталне хидроизолације темељне плоче , од подземне воде, преко АБ  заглађене подлоге . Хидроизолација од ПВЦ мембране "Сикаплан ТУ 9.6." (неармирани пластифицирани поливинилхлорид), д=1,5 мм, или производ другог произвођача сличних карактеристика. Трака се уграђује варењем спојева машинским путем у сендвичу од два филца од геотекстила (300-500гр/м2), међусобно заварених са функцијом заштитно-клизног слоја у свему према упуству произвођача. У цену улази: припрема подлоге-отклањање слободних и оштрих делова, темељно чишћење подлоге, ПВЦ мембрана, геотекстил, материјал за варење спојева и сви евентуално потребни лимови и пратећи елементи. Сви детаљи као што су радне фуге, дилатације и слично, решавају се по детаљима произвођача и одобрењу надзорног органа и пројектанта. Све у складу са ДИН 16730 и ДИН 16938 и препорукама произвођача. Обрачун по м2.</t>
  </si>
  <si>
    <t>Набавка и уградња водонепорпусне-паропропусне фолије СД = 0,02м ТЈУНИНГ ФОЛ-К 140 г/м²) крова. Полагање преко подашчане подлоге. Фолију постављати у складу са упутствима произвођача. Фолију правилно затегнути и извршити причвршћивање на месту преклопа.Обрачун по м2</t>
  </si>
  <si>
    <t>Набавка и разастирање шљунка у слоју дебљине 10 цм, испод темељних трака, АБ  подне плоче, и техничког канала. Тампонски слој шљунка насути у слојевима, набити и фино испланирати са толеранцијом по висини ±1 цм. Обрачун по м2 набијеног шљунка.</t>
  </si>
  <si>
    <t>технички канал:</t>
  </si>
  <si>
    <t xml:space="preserve">Израда АБ техничког канала МБ 30, на слоју шљунка д=10цм изнад везних греда. Дебљина пода и зидова канала д=10 цм. Овом позицијом је обухваћена и одговарајућа арматура. Обрачун бетона  по м3 </t>
  </si>
  <si>
    <t>Накнада за увођење градилишне електричне енергије. Писмени захтев за сагласност са скицом упутити надлежном органу за одобрење коришћења електричне енергије. У цену улазе и плаћање таксе за коришћење за све време трајања радова и инсталирање главног градилишног ормана са бројилом, осигурачима и остало. Обрачун паушално.</t>
  </si>
  <si>
    <t>п</t>
  </si>
  <si>
    <t>Накнада за увођење градилишне воде. Писмени захтев за сагласност са скицом упутити надлежном органу за одобрење коришћења воде. У цену улазе и плаћање таксе и израда прикључка, шахта, водомера и остало. Обрачун паушално.</t>
  </si>
  <si>
    <t>Накнада за прикључак на електро мрежу. Писмени захтев са скицом упутити надлежном органу. У цену улази и плаћање таксе. Обрачун паушално.</t>
  </si>
  <si>
    <t>Накнада за прикључак на водоводну мрежу. Писмени захтев са скицом упутити надлежном органу. У цену улази и плаћање таксе. Обрачун паушално.</t>
  </si>
  <si>
    <t>Накнада за прикључак на канализациону мрежу. Писмени захтев са скицом упутити надлежном органу. У цену улази и плаћање таксе. Обрачун паушално.</t>
  </si>
  <si>
    <t>Уградња репера на објекту и суседним објектима за праћење евентуалног слегања у свему по упутству статичара. У одређеном временском периоду, а у договору са статичарем, вршити мерења и водити дневник мерења. Обрачун паушално.</t>
  </si>
  <si>
    <t>Израда и постављање сигналног осветљења градилишта. Постављање на огради и/или скели. Инсталацију под напоном од 12 волти, са светиљкама заштићеним мрежом, поставити у договору са надзорним органом, а у свему према прописима. Обрачун паушално, комплет изведено.</t>
  </si>
  <si>
    <t>Пажљиво машинско рушење  објекта на  предметној локацији, изнад коте терена. Зидови од опеке и бетона, бетонски подови, међуспратне конструкције. Кровна конструкција дрвена, покривач цреп. Предузети све мере за безбедност радника и суседних објеката. Шут утоварити и одвести на градску депонију, а простор очистити. У цену улази и демонтажа електро и других инсталација. Обрачун по м2 бруто површине објекта.</t>
  </si>
  <si>
    <t>Рушење темеља од бетона. Рушење бетонског темеља извести машинским путем. Шут прикупити, изнети, утоварити на камион и одвести на градску депонију. Обрачун по м2 бруто површине објекта.</t>
  </si>
  <si>
    <t>Машински ископ земље III категорије за темеље. Ископ извести и ручно нивелисати према пројекту и датим котама. Ископану земљу утоварити на камион и одвести на градску депонију удаљености 5-10км. Обрачун по м3 земље, мерено урасло.</t>
  </si>
  <si>
    <t>93.76*1.1</t>
  </si>
  <si>
    <t>11.21*0.71</t>
  </si>
  <si>
    <t>(7.5+2.8*2+1.3+2.4+4.24+16.14+1.2)*0.6</t>
  </si>
  <si>
    <t>Зидање зидова дебљине 20 цм гитер 5 блоковима 19x25x19 у цементном малтеру, размере 1:3. Блокове пре зидања квасити. У цену улази и помоћна скела. Обрачун по м2 зида.</t>
  </si>
  <si>
    <t>(10.7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t>
  </si>
  <si>
    <t>Зидање спољашњих зидова гитер 5 блоковима димензија 19x25x19 цм у продужном малтеру размере 1:2:6. Дебљина зида је 25 цм. Блокове пре уградње квасити водом. По завршеном зидању спојнице очистити до дубине 2 цм. У цену улази и помоћна скела. Обрачун по м3 зида, отвори се одбијају.</t>
  </si>
  <si>
    <t>Израда темељних зидова од набијеног бетона МБ 30, д=30цм. Израдити оплату темељних зидова по детаљима и пројекту. Бетон уградити и неговати по прописима. У цену улазе и оплата, подупирачи и помоћна скела. Арматура се посебно обрачунава. Обрачун по м3 бетона</t>
  </si>
  <si>
    <t>Израда армирано-бетонске АБ плоче на тлу, дебљине д=10цм. Плочу армирати према пројекту и статичком прорачуну и бетонирати. Бетонирање радити преко претходно разастртог шљунка дебљине слоја 10-20цм. Горњу површину бетона прописно испердашити. Уграђивање бетона пумпом за бетон, готов бетон МБ 30 справљен у фабрици бетона. Арматура се посебно обрачунава. Обрачун по м2.</t>
  </si>
  <si>
    <t>Израда армирано бетонских контра подвлака, марке МБ 30. Израдити оплату са подупирачима и подвлаке армирати по пројекту, детаљима и статичком прорачуну. Бетон уградити и неговати по прописима. У цену улазе и оплата, подупирачи, и помоћна скела. Арматура се посебно обрачунава. Обрачун по м3 подвлаке.</t>
  </si>
  <si>
    <t>Израда и бетонирање армирано бетонских АБ греда у склопу таваничних плоча изнад: приземља,I-II спрата, различитих димензија. Машинско уграђивање бетона у конструкције пумпом за бетон. Готов бетон МБ30 справљен у фабрици бетона. У цену улази одговарајућа оплата, подупирачи и помоћна скела. Арматура се посебно обрачунава. Обрачун по м3 уграђеног бетона.</t>
  </si>
  <si>
    <t>Бетонирање армирано бетонске АБ косе плоче главних степенишних кракова са једновременом израдом степенка. Степенишна плоча дебљине д=15цм. Машинско уграђивање бетона, готов бетон МБ30 справљен у фабрици бетона. Израдити оплату плоче и степеника и армирати по пројекту, детаљима, и статичком прорачуну. Бетон уградити и неговати по прописима. У цену улазе оплата, подупирачи и помоћна скела. Арматура се посебно обрачунава. Обрачун по м2 уграђене степенишне плоче заједно са профилима.</t>
  </si>
  <si>
    <t xml:space="preserve">Израда степенишне плоче и степеника спољашњег степеништа,  од набијеног бетона . Плочу бетонирати истовремено са степеницима, а преко слоја шљунка. Бетон уградити и неговати по прописима. У цену улази и оплата. Арматура се посебно обрачунава. Обрачун по м3 бетона.
</t>
  </si>
  <si>
    <t xml:space="preserve">Израда армирано бетонских косих плоча и подеста рампе марке МБ 30. Израдити оплату косих плоча и подеста и армирати мрежастом арматуром Q -188. Горњу површину испердашити и бетон уградити и неговати по прописима. На размаку од 3м извести вертикални серклаж ±2РØ10, узенгија Ø6/20, МБ20. У цену улазе и оплата , арматура и тампон шљунка са потребном оплатом. Обрачун по м3 бетона.     </t>
  </si>
  <si>
    <t>Израда венца са припадајућим серклажом, од армираног бетона . Урадити профилисану оплату са подупирачима и венце армирати по детаљима и статичком прорачуну. Бетон уградити и неговати по прописима. У цену улазе и оплата, подупирачи. Арматура се посебно обрачунава. Обрачун по м3 венца.</t>
  </si>
  <si>
    <t>Израда лакоармираног, заглађеног и потпуно хоризонталног цементног естриха дебљине д=4цм, као подлоге за постављање подне облоге од: ламината, керамике. Малтер за естрих справити просејаним шљунком "јединицом". У цену урачуната и арматурна мрежа Q-131. Мрежу поставити у средини слоја са преклопом од 15цм. Цементни естрих неговати док не очврсне. Обрачун по м2.</t>
  </si>
  <si>
    <t>m2</t>
  </si>
  <si>
    <t>Набавка и постављање дашчане подлоге преко кровне конструкције. Даске дебљине 24 мм од суве, праве  јелове даске, ИИ класе.
Обрачун по м2 постављене површине.</t>
  </si>
  <si>
    <t>Летвисање крова летвама 24/48 мм, на размаку од 32 цм за покривање фалцованим црепом. Летвисање извести сувим, правим и квалитетним јеловим летвама, оптималне дужине.
Обрачун по м2.</t>
  </si>
  <si>
    <t>Летвисање крова летвама 24/48 мм, паралелно са роговима, преко дашчане оплате, за стварање ваздушног простора испод покривача. Летве поставити на размаку од 40 цм. Летвисање извести сувим, правим и квалитетним јеловим летвама, оптималне дужине.
Обрачун по м2.</t>
  </si>
  <si>
    <t>Израда и постављање балконских двокрилних застакљених ПВЦ врата, димензија 135x220 цм. Врата израдити од високоотпорног тврдог ПВЦ-а са вишекоморним системом профила и ојачаног челичним нерђајућим профилима, испуном и системом заптивања ЕПДМ гумом, по шеми столарије и детаљима. Оков, брава, три шарке и боја врата, по избору пројектанта. Врата застаклити термо изолационим стаклом д=4+12+4 мм и дихтовати трајно еластичном ЕПДМ гумом. Са свим атестима, а посебно атестом за коефициент пролаза топлоте У макс=1,5 W/(м²×К)                  Карактеристике
- ПВЦ профили 5-коморни, коефициент пролаза топлоте Уф=1,3-1,5 W/(м²×К)
- стакло 2-струко, нискоемисионо, 4-15-4 мм (Ар), коефициент пролаза топлоте Уф=1,3 W/(м²×К). Обрачун по комаду.</t>
  </si>
  <si>
    <t>Унутрашња  преграда са двокрилним вратима и са два фиксна застакљена дела са обе стране. Врата су израђена од елоксираног алуминијума, тон металик, без термо прекида, испуном и системом дуплог заптивања ЕПДМ гумом. Крила врата и бочни делови застакљени су сигурносним стаклом д=6мм. Врата снабдети потребним оковом од елоксираног алуминијума за отварање према шеми, укопавајућом бравом са два кључа и механизмом за самозатварање.Обрачун по м2</t>
  </si>
  <si>
    <t xml:space="preserve">Унутрашња преграда
Унутрашња преграда од елоксираног алуминијумског профила, тон металик, без термо прекида. Састоји се од врата и преграде од шалтера. Врата су застакљена пескареним стаклом, а шалтер сигурносним стаклом d=6мм. Доње десно крило шалтера снабдети механизмом за отварање клизајући на лево и бравицом са кључем. Врата снабдети потребним оковом од елоксираног алуминијума за отварање према шеми и бравом са обичним кључем.
</t>
  </si>
  <si>
    <t>Израда и постављање ограде балкона од кованог гвожђа. Ограду израдити и уградити по детаљима и упутству пројектанта. Евентуалне варове идеално обрусити. Пре уградње ограду очистити од корозије и прашине, нанети импрегнацију и обојити основном бојом. Поставити ограду, поправити основну боју и обојити два пута у боји графита. Обрачун по м1 ограде.</t>
  </si>
  <si>
    <t>Опшивање солбанка прозора пластифицираним лимом у браон боји, развијене ширине (РШ) до 25 цм, дебљине 0,70 мм. Стране солбанка према зиду и штоку прозора подићи у вис до 25 мм, у шток прозора учврстити укивањем на размаку 50-80 мм. Предњу страну солбанка причврстити за дрвене пакнице или слично. Испод лима поставити слој тер папира, који улази у цену солбанка. Обрачун по м1 солбанка.</t>
  </si>
  <si>
    <t>Опшивање фасадих венца пластифицираним лимом у браон боји, развијене ширине (РШ) до 33 цм, дебљине 0,60 мм. Задњу страну лима подићи у вис најмање 10 цм, дупло превити и подвући под малтер. Лим саставити фалцевима или нитовати једноредно на размаку 30-40 мм и залемити. Између фалцева лим причврстити хафтерима, а у осталом делу пластичним типловима са поцинкованим холшрафовима. Преко поставити "машнице" и залемити, на растојању до 60 цм. Испод лима поставити слој тер папира, који улази у цену венца. Обрачун по м1 венца.</t>
  </si>
  <si>
    <t>Израда и монтажа вертикланих олучних цеви од пластифицираног лима у браон боји, Ø 10 цм, дебљине 0,80 мм. Поједини делови олучних цеви увући један у други минимум 50 мм и залепити барсилом. Пластифициране обујмице са држачима поставити на размаку од 200 цм. Преко обујмица поставити пластифицирану украсну траку. Цеви морају бити удаљене од зида минимум 20 мм. Завршетак олучне цеви по детаљу. Обрачун по м1 олучне цеви.</t>
  </si>
  <si>
    <t>Израда и монтажа лежећих олука од пластифицираног лима у браон боји, развијене ширине (РШ) 40 цм, дебљине 0,70 мм. Олуке спајати поп нитнама, једноредно са максималним размаком 3 цм и залепити силиконом. Држаче лежећих олука радити од поцинкованог флаха 25x5 мм обојеног у тону лима и нитовати са предње стране олука поп нитнама, на размаку до 80 цм. Обрачун по м1 лежећег олука.</t>
  </si>
  <si>
    <t>ЗАСТАКЉИВАЊЕ ФАСАДНИХ ПАРАПЕТА : Стаклени зид као завршна фасадна обрада парапета прозора а према графичкој документацији.  Сачињен од хоризонталних и вертикалних-сегментних профила директно причвршћених за постојећу Fe и АБ конструкцију преко микропорозних гума без директног контакта Fe подконструкције и алуминијума. Стакло је  од сигурносног стакла 3,3,1 у тону као стакла на прозорима, учвршћује се стезним профилима. Обрачун по м2.</t>
  </si>
  <si>
    <t>Набавка и постављање фасадних резаних камених плоча, "Струганик". Плоче дебљине 2 цм у виду штанглица, ширине од 5-8цм .
Kamen se postavlja na lepak i lepi se samo zadnja strana koja je ravno sečena tako da lepo prijanja na zid.
Potrebno je uklapati odgovarajuće komade kamena sa što manjim zazorom, što znači da pri ugradnji ne treba žuriti već promišljeno uklapati kamen do kamena i kamen na kamen.
Обрачун по м2 постављене површине.</t>
  </si>
  <si>
    <t>Израда преградних зидова дебљине 100 мм,једнострука метална подконструкција обложена једнострано двоструким влагоотпорним гипс плочама ГКБИ 12,5 мм , а са друге стране двоструким гипс картонским плочама ГКБ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произвођача..За уграђени зид обезбедити одговарајући атест.Овом позицијом је обухваћена камена вуна д=50мм. Саставе обрадити глет масом и бандаж тракама по упутству произвођача. У цену улази и радна скела. Обрачун по м2 постављене површине.</t>
  </si>
  <si>
    <t>Набавка и разастирање природног и испраног речног шљунка у слоју дебљине д=20цм, као тампонског слоја  изнад темељних везних греда до  подне плоче, са набијањем и ваљањем до потребне збијености. Тампонски слој набити и фино испланирати са толеранцијом по висини +/-1цм. Обрачун по м2 набијеног шљунка.</t>
  </si>
  <si>
    <t>Фасадни зидовид=25цм:</t>
  </si>
  <si>
    <t>плоча изнад Пр,1.2. спрата:                 196.0*3</t>
  </si>
  <si>
    <t>Израда армирано бетонских надвратника, марке бетона МБ 20. Израдити оплату и надвратнике армирати по детаљима и статичком прорачуну. Арматура надвратника +/-2Рфи10, УЗ фи 6/20. Бетон уградити и неговати по прописима. У цену улазе оплата, подупирачи, арматура и помоћна скела. Обрачун по м1 надвратника.</t>
  </si>
  <si>
    <t>Moкри чвор</t>
  </si>
  <si>
    <r>
      <t xml:space="preserve">Набавка и постављање подне облоге ламинат, лепљен, ниже класе, на </t>
    </r>
    <r>
      <rPr>
        <b/>
        <sz val="10"/>
        <rFont val="Arial"/>
        <family val="2"/>
      </rPr>
      <t>под таванског ростора</t>
    </r>
    <r>
      <rPr>
        <sz val="10"/>
        <rFont val="Arial"/>
        <family val="2"/>
      </rPr>
      <t>,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r>
  </si>
  <si>
    <t>Израда и уградња јарбола за заставу од челичних цеви, висине до 6,0 м. Јарбол са механизмом за подизање заставе. На дну јарбола израдити анкере од челика. Јарбол очистити, обојити минијумом и два пута бојити бојом за метал. У цену улази израда, бојење и постављање јарбола, са израдом бетонског темеља димензија 40x40x70 цм. Обрачун по ком јарола.</t>
  </si>
  <si>
    <t>уз  пројекат  ХИДРОТЕХНИЧКИХ ИНСТАЛАЦИЈА објекта " Прекршајни суд у Пожаревцу"  спратности П+2</t>
  </si>
  <si>
    <t>ИНСТАЛАЦИЈЕ ВОДОВОДА</t>
  </si>
  <si>
    <t>1</t>
  </si>
  <si>
    <t>Набавка потребног материјала и повезивање водоводне мреже објекта на уличну мрежу.
Обрачун по комаду изведеног прикључка у зависности од пречника цеви.</t>
  </si>
  <si>
    <t>ПОЦ ДН100 мм (4") на уличну водоводну цев</t>
  </si>
  <si>
    <t>ХДПЕ Д80 мм (3") на уличну водоводну цев</t>
  </si>
  <si>
    <t>Набавка транспорт и монтажа овалног затварача.
Обрачун по комаду уграђеног затварача.</t>
  </si>
  <si>
    <t>ДН 40 (6/4")</t>
  </si>
  <si>
    <t>ДН 50 (2")</t>
  </si>
  <si>
    <t>ДН 63 (5/2")</t>
  </si>
  <si>
    <t>ДН 80 (3")</t>
  </si>
  <si>
    <t>Набавка транспорт и монтажа  вентила тип ЕУРО 20 (за уградбену гарнитуру).
Обрачун по комаду уграђеног затварача.</t>
  </si>
  <si>
    <t>ДН 80</t>
  </si>
  <si>
    <t>Набавка транспорт и монтажа телескопске уградбене  гарнитуре за дубину уградње 1,25-1,50м за вентиле типа ЕУР 20 .
Обрачун по комаду уграђене уградбене гарнитуре.</t>
  </si>
  <si>
    <t>За вентил ДН 80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</si>
  <si>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</si>
  <si>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5</t>
  </si>
  <si>
    <t>Набавка и монтажа кућног вишемлазног пропелерног водомера за хладну воду, пречника 3/4", са мокрим 
механизмом, "ИНСА" Београд. Максимална температура воде је до +40 Ц, за називни притисак НП10 класа 
А. Поставити и два равна пропусна вентила од којих један има испусну славину и одговарајући фитинг:
- Водомер 
- Равни пропусни вентил са точкићем за затварање,
- Равни пропусни вентил са точкићем за затварање и са испусном славином,
- Неповратни вентил,
- Остали потребни спојни материјал.
Комплет уграђено плаћа се по комаду.</t>
  </si>
  <si>
    <t>Комплет за водомер Ø 3/4" (20 мм)</t>
  </si>
  <si>
    <t>6</t>
  </si>
  <si>
    <t>Превезивање комплет водомера објекта који су прикључени на заједнички прикључак на уличну водоводну мрежу. Ценом је обухваћен сав потребан спојни и заптивни материјал за превезивање.
Обрачун по комаду изведеног превезивања.</t>
  </si>
  <si>
    <t>11</t>
  </si>
  <si>
    <t>Набавка потребног материјала и повезивање водоводне мреже објекта на водоводну мрежу прикључка.
Обрачун по комаду изведеног прикључка у зависности од пречника цеви.</t>
  </si>
  <si>
    <t>Ø   75 мм на прирубницу Д90мм</t>
  </si>
  <si>
    <t>Ø   32 мм на прирубницу Д40мм</t>
  </si>
  <si>
    <t>Набавка цеви, транспорт цеви и монтажа цевовода од полиетиленских водоводних цеви од полиетилена  ПЕ 100 за радни притисак 10 Бара.
Цеви се међусобно спајају чеоним заваривањем, а на водоводну арматуру  одговарајућим ливеногвозденим зупћастом спојницом са летећом прирубницом, или  завареним ПЕ туљком са летећом прирубницом. 
Обрачун по м' монтираног цевовода у зависности од пречника цеви.</t>
  </si>
  <si>
    <t>ХДПЕ Д20 мм (Ø 1/2")</t>
  </si>
  <si>
    <t>м'</t>
  </si>
  <si>
    <t>ХДПЕ Д25 мм (Ø 3/4")</t>
  </si>
  <si>
    <t>ХДПЕ Д32 мм (Ø 1")</t>
  </si>
  <si>
    <t>ХДПЕ Д40 мм (Ø 5/4")</t>
  </si>
  <si>
    <t>ХДПЕ Д50 мм (Ø 6/4")</t>
  </si>
  <si>
    <t>ХДПЕ Д63 мм (Ø 2")</t>
  </si>
  <si>
    <t>ХДПЕ Д75 мм (Ø 21/2")</t>
  </si>
  <si>
    <t>ХДПЕ Д90 мм (Ø 3")</t>
  </si>
  <si>
    <t>ХДПЕ Д110 мм (Ø 4")</t>
  </si>
  <si>
    <t>ХДПЕ Ø125</t>
  </si>
  <si>
    <t>ХДПЕ Ø140</t>
  </si>
  <si>
    <t>ХДПЕ Ø160</t>
  </si>
  <si>
    <t>ХДПЕ Ø180</t>
  </si>
  <si>
    <t>ХДПЕ Ø200</t>
  </si>
  <si>
    <t>ХДПЕ Ø225</t>
  </si>
  <si>
    <t>ХДПЕ Ø250</t>
  </si>
  <si>
    <t>ХДПЕ Ø315</t>
  </si>
  <si>
    <t>Набавка транспорт и монтажа ливеногвоздених фазонских комада, са пластифицираном спољном површином, према шемама чворова и спецификацији, са свим припадајућим материјалом.
Напомена: Обавеза је извођача да пре набавке дату спецификацију провери и усагласи са стањем на терену. 
Обрачун по кг.</t>
  </si>
  <si>
    <t>7</t>
  </si>
  <si>
    <t>Набавка и монтажа ПП-Р водоводних цеви ПН16,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По потреби, а по детаљима извести термо и акустичну изолацију цеви. У цену цевне мреже урачунати све потребне фазонске комаде, као и завршне лукове за причвршћивање санитарне арматуре, припремно завршне радове, пренос материјала, израда и затварање    жљебова    или    монтирање    на обујмицама, кукама и конзолама, пробијање рупа у зидовима, међуспратним конструкцијама, преглед и испитивање сваке цеви или комада, сечење цеви, варење спојева, давање пада, изолација цеви по пројекту или захтеву надзорног органа, преглед водова и привремено затварање отвора цеви ради испитивања.
Обрачун по м' изведене мреже мерено по оси цеви заједно са фазонским комадима.</t>
  </si>
  <si>
    <t>ПП-Р Ø 16 мм</t>
  </si>
  <si>
    <t xml:space="preserve">ПП-Р Ø 20 мм (1/2") </t>
  </si>
  <si>
    <t xml:space="preserve">ПП-Р Ø 25 мм (3/4") </t>
  </si>
  <si>
    <t xml:space="preserve">ПП-Р Ø 32 мм (1") </t>
  </si>
  <si>
    <t>ПП-Р Ø 40 мм (5/4") - 47 м1</t>
  </si>
  <si>
    <t>ПП-Р Ø 50 мм (6/4")</t>
  </si>
  <si>
    <t>ПП-Р Ø 63 мм (2") - 220 м1</t>
  </si>
  <si>
    <t>ПП-Р Ø 75 мм (2 1/2")</t>
  </si>
  <si>
    <t>ПП-Р Ø 90 мм (3")</t>
  </si>
  <si>
    <t>ПП-Р Ø 110 мм (4")</t>
  </si>
  <si>
    <t>8</t>
  </si>
  <si>
    <t xml:space="preserve">Набавка потребног материјала и израда водоводне мреже од челичних поцинкованих водоводних цеви са навојем и потребним фазонским комадима за њихово спајање. У цену урачунати и потребну скелу за монтажу водоводне мреже испод плафонске конструкције, потребан материјал за вешање цеви о плафонску конструкцију и причвршћивање за зидове, као и потребну декородал траку за обавијање цеви пре зази|ивања.
Обрачун по м' изведене мреже мерено по оси цеви заједно са фазонским комадима. </t>
  </si>
  <si>
    <t>ПОЦ Ø 1/2"    (13 мм)</t>
  </si>
  <si>
    <t>ПОЦ Ø 3/4"    (20 мм)</t>
  </si>
  <si>
    <t>ПОЦ Ø 1"       (25 мм)</t>
  </si>
  <si>
    <t>ПОЦ Ø 5/4"    (32 мм)</t>
  </si>
  <si>
    <t>ПОЦ Ø 6/4"    (40 мм)</t>
  </si>
  <si>
    <t>ПОЦ Ø 2"       (50 мм)</t>
  </si>
  <si>
    <t>ПОЦ Ø 2 1/2" (63 мм)</t>
  </si>
  <si>
    <t>ПОЦ Ø 3"       (75 мм)</t>
  </si>
  <si>
    <t>ПОЦ Ø 4"       (100 мм)</t>
  </si>
  <si>
    <t>Набавка и монтажа равног пропусног вентила,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да има атест. Обрачун по комаду вентила.</t>
  </si>
  <si>
    <t>Ø 13 мм (1/2")</t>
  </si>
  <si>
    <t>Ø 19 мм (3/4")</t>
  </si>
  <si>
    <t>10</t>
  </si>
  <si>
    <t>Набавка и монтажа равног пропусног вентила, са точкићем. Приликом монтаже вентила водити рачуна да точкић вентила буде на правилном одстојању од финалне површине зида. Вентил мора да има атест. Обрачун по комаду вентила.</t>
  </si>
  <si>
    <t>Ø 10 мм (3/8")</t>
  </si>
  <si>
    <t>Ø 13 мм (1/2") - 4 ком</t>
  </si>
  <si>
    <t>Ø 19 мм (3/4") - 9 ком</t>
  </si>
  <si>
    <t>Ø 25 мм (1") - 2 ком</t>
  </si>
  <si>
    <t>Ø 32 мм (5/4")</t>
  </si>
  <si>
    <t>Ø 40 мм (6/4")</t>
  </si>
  <si>
    <t>Ø 50 мм (2")</t>
  </si>
  <si>
    <t>Ø 63 мм (2 1/2")</t>
  </si>
  <si>
    <t>Ø 80 мм (3")</t>
  </si>
  <si>
    <t>9</t>
  </si>
  <si>
    <t>Набавка и монтажа угаоног пропусног вентила са пониклованом ручицом и розетом.
Обрачун по комаду.</t>
  </si>
  <si>
    <t>Ø 1/2" - 3/8" за батерију (умиваоника)</t>
  </si>
  <si>
    <t>Ø 1/2" - 3/8" за батерију (туша) - 48 ком</t>
  </si>
  <si>
    <t>Ø 1/2" - 3/8" - за прикључак (судопера)</t>
  </si>
  <si>
    <t xml:space="preserve">Ø 1/2" - 3/8" - за прикључак (WЦ) </t>
  </si>
  <si>
    <t>12</t>
  </si>
  <si>
    <t>Набавка и монтажа угаоног пропусног вентила Ø 1/2 за писоар.
Обрачун по комаду.
4 ком</t>
  </si>
  <si>
    <t>Набавка и монтажа челичних носача, разних димензија (ДН15 до ДН 50) сходно потреби вешања цеви.
Обрачунава се и плаћа по метру уграђених цеви заједно са обезбеђењем.</t>
  </si>
  <si>
    <t>Набавка и постављање лепљењем изолације у зиду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9 мм. Након израде изолације све спојеве обрадити самолепљивом траком.
Обрачун по дужном метру изолованих цеви.</t>
  </si>
  <si>
    <t>Набавка и постављање лепљењем изолације на видно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</si>
  <si>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комплет подземног баштенског хидранта Ø20мм са челичном поцинкованом цеви потребне дужине, обујмицом за везу на полиетиленску цев, потребним фитинзима и овалном ливеногвозденом хидрантском капом.
Обрачун по комаду.</t>
  </si>
  <si>
    <t>13</t>
  </si>
  <si>
    <t xml:space="preserve">Испитивање водоводне мреже по деоницама и у целости после извршене грубе монтаже, а пре постављања изолационог плашта, на хидраулички притисак који мерен на најнижем месту треба да износи најмање 12 бара. Обрачун по м испитане мреже. </t>
  </si>
  <si>
    <t xml:space="preserve"> м1</t>
  </si>
  <si>
    <t>14</t>
  </si>
  <si>
    <t xml:space="preserve">Испирање и дезинфекција целокупне водоводне мреже у складу са важећим прописима и прибављање потврде о квалитету воде из мреже од надлежног института за ову врсту радова. Обрачун по м испране и дезинфиковане мреже. </t>
  </si>
  <si>
    <t>УКУПНО ИНСТАЛАЦИЈЕ ВОДОВОДА:</t>
  </si>
  <si>
    <t>ХИДРАНТСКА МРЕЖА</t>
  </si>
  <si>
    <t>Набавка и транспорт потребног материјала и извођење прикључка хидрантске мреже, према хидрауличком прорачуну у новопројектованој водомерној шахти.
Обрачун по комаду изведеног прикључка у зависности од пречника цеви.</t>
  </si>
  <si>
    <t>ХДПЕ Д90 мм на ХПДЕ Ø90 мм</t>
  </si>
  <si>
    <t>ХДПЕ Д80 мм на ДН80</t>
  </si>
  <si>
    <t>ПОЦ ДН80мм на ПОЦ ДН80мм</t>
  </si>
  <si>
    <t>Набавка, транспорт и монтажа ливено - гвозденог равног пропусног вентила НП 16 бара са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 вентила.</t>
  </si>
  <si>
    <t>Вентил Ø   50 мм (2")</t>
  </si>
  <si>
    <t>Вентил Ø   65 мм (2 1/2")</t>
  </si>
  <si>
    <t>Вентил Ø   80 мм (3")</t>
  </si>
  <si>
    <t>Вентил Ø 100 мм (4")</t>
  </si>
  <si>
    <t>Набавка, транспорт и монтажа ливено - гвозденог равног пропусног вентила НП 16 бара са испустом и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t>
  </si>
  <si>
    <t>Вентил Ø  50 мм</t>
  </si>
  <si>
    <t>Вентил Ø   65 мм</t>
  </si>
  <si>
    <t>Вентил Ø   80 мм</t>
  </si>
  <si>
    <t>Вентил Ø 100 мм</t>
  </si>
  <si>
    <t>Набавка, транспорт и монтажа ливено - гвозденог неповратног вентила НП 16 бара са везом на фланшу  за уградњу у водомерно окно. Неповратни вентил монтирати хоризонтално, поштујући смер кретања флуида како показује стрелица на кућишту. У цену урачунат и сав спојни и заптивни материјал.
Обрачунава се и плаћа по комаду уграђеног вентила у зависности од пречника.</t>
  </si>
  <si>
    <t>Вентил Ø   50 мм</t>
  </si>
  <si>
    <t>Набавка, транспорт и монтажа монтажно-демонтажног комада МДК "А" НП 10 бара. У цену урачунат и сав спојни и заптивни материјал.
Обрачунава се и плаћа по уграђеном МДК комаду у зависности од пречника.</t>
  </si>
  <si>
    <t>МДК Ø   50 мм</t>
  </si>
  <si>
    <t>МДК Ø   65 мм</t>
  </si>
  <si>
    <t>МДК Ø   80 мм</t>
  </si>
  <si>
    <t>МДК Ø 100 мм</t>
  </si>
  <si>
    <t>Набавка, транспорт и монтажа хватача нечистоће НП 16 бара са једноделним кућиштем и поклопцем од сивог лива и плетеним ситом од нерђајуће отпорне жице. Хватач нечистоће монтирати хоризонтално са поклопцем са доње стране. У цену урачунат и сав спојни и заптивни материјал.
Обрачунава се и плаћа по комаду уграђеног хватача нечистоће у зависности од пречника.</t>
  </si>
  <si>
    <t>Хватач нечистоће Ø   50 мм</t>
  </si>
  <si>
    <t>Хватач нечистоће Ø   65 мм</t>
  </si>
  <si>
    <t>Хватач нечистоће Ø   80 мм</t>
  </si>
  <si>
    <t>Хватач нечистоће Ø 100 мм</t>
  </si>
  <si>
    <t xml:space="preserve">Набавка, транспорт и монтажа редукционог комада са прирубницом - ФФР комада НП 10 бара, површински заштићеног пластифицирањем. У цену урачунат и сав спојни и заптивни материјал.
Обрачунава се и плаћа по уграђеном комаду у зависности од пречника. </t>
  </si>
  <si>
    <t>ФФР 100/80</t>
  </si>
  <si>
    <t>ФФР 150/80</t>
  </si>
  <si>
    <t xml:space="preserve">Набавка, транспорт и монтажа равне прирубнице са навојем НП 10 бара. У цену урачунат и сав спојни и заптивни материјал.
Обрачунава се и плаћа по комаду уграђене прирубнице у зависности од пречника. </t>
  </si>
  <si>
    <t>ПР 100/1"</t>
  </si>
  <si>
    <t>ПР 100/2"</t>
  </si>
  <si>
    <t>ПР 80/2 1/2"</t>
  </si>
  <si>
    <t>ПР 100/2 1/2"</t>
  </si>
  <si>
    <t>ПР 100/3"</t>
  </si>
  <si>
    <t>ПР 100/4"</t>
  </si>
  <si>
    <t>Набавка транспорт и монтажа  Wолтмановог водомера тип WПИ хоризонтални ДН65 Qмаx 50, 40 оЦ/ПН 16 бара,  класе А, произвођача ИНСА Београд, или водомера другог произвођача сличних карактеристикаса, са прирубницама и пластифицираном  спољном површином.
Обрачун по комаду уграђеног водомера.</t>
  </si>
  <si>
    <t>Водомер Ø   50 мм</t>
  </si>
  <si>
    <t>Водомер Ø   63 мм</t>
  </si>
  <si>
    <t>Водомер Ø   80 мм</t>
  </si>
  <si>
    <t>Водомер Ø 100 мм</t>
  </si>
  <si>
    <t>Набавка, транспорт и монтажа водоводних ХДПЕ цеви ПЕ 100 за радни притисак ПН 10 бара, СДР 17. Цеви се међусобно спајају чеоним заваривањем, а на водоводну арматуру чеоно завареним ХДПЕ туљком са летећом прирубницом или одговарајућом ливено гвозденом зупчастом спојницом са летећом прирубницом. У цену урачунати и сви потребни фазонски комади, као и спојни и заптивни материјал. 
Обрачун по м' монтираног цевовода у зависности од пречника цеви.</t>
  </si>
  <si>
    <t>ХДПЕ Ø32 (1")</t>
  </si>
  <si>
    <t>ХДПЕ Ø40 (5/4")</t>
  </si>
  <si>
    <t>ХДПЕ Ø50 (6/4")</t>
  </si>
  <si>
    <t>ХДПЕ Ø63 (2")</t>
  </si>
  <si>
    <t>ХДПЕ Д75 мм (21/2")</t>
  </si>
  <si>
    <t>ХДПЕ Д90 мм (3")</t>
  </si>
  <si>
    <t>ХДПЕ Ø110 мм (4")</t>
  </si>
  <si>
    <t>Набавка транспорт и монтажа ливеногвоздених цеви са свим потребним фазонским комадима (фитинзима), за извођење инсталације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t>
  </si>
  <si>
    <t>ЛГ Ø150 мм</t>
  </si>
  <si>
    <t>Набавка транспорт и монтажа затварача тип ЕУРО 20 (за уградбену гарнитуру).
Обрачун по комаду уграђеног затварача.</t>
  </si>
  <si>
    <t>ДН 100</t>
  </si>
  <si>
    <t>Набавка транспорт и монтажа телескопске уградбене  гарнитуре за вентиле типа ЕУРО 20, за дубину уградње 1.0-1.5 м .
Обрачун по комаду уграђене уградбене гарнитуре.</t>
  </si>
  <si>
    <t>За вентил ДН 100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</si>
  <si>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</si>
  <si>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Набавка транспорт и монтажа лука са стопом (ЛС комад) са Епоxy заштитним премазом.
Обрачун по комаду уграђеног комада.</t>
  </si>
  <si>
    <t xml:space="preserve">ДН 100 </t>
  </si>
  <si>
    <t>Набавка транспорт и монтажа спољњег пожарног хидранта НП 10 бара, са свим потребним фазонским елементима и спојним материјалом за повезивање на ливеногвоздени ЛС комад одговарајућег пречника. Хидрант мора имати две прикључне спојке Ø 52 мм тип "Ц" и једну Ø 75 мм тип "Б". Након завршене монтаже извршити потребно испитивање спољње хидрантске мреже, по прописима за противпожарну заштиту.
Плаћа се по комаду монтираног хидранта.</t>
  </si>
  <si>
    <t>Хидрант, надземни Ø 80 мм</t>
  </si>
  <si>
    <t>Хидрант, надземни Ø100 мм</t>
  </si>
  <si>
    <t>Хидрант, подземни Ø 80 мм</t>
  </si>
  <si>
    <t>Хидрант, подземни Ø 100 мм</t>
  </si>
  <si>
    <t>Набавка транспорт и монтажа потребног материјала за превезивање постојећег спољњег подземног пожарног хидранта НП 10 бара на новопројектовани ХДПЕ цевовод Ø 110 мм. Ценом су обухваћени сви потребни фазонски елементима и спојни материјал за првезивање.
Плаћа се по комаду превезаног хидранта.</t>
  </si>
  <si>
    <t>Набавка, транспорт и монтажа самостојећих ормана од нерђајућег челика - Иноx, димензија 1080x540x185 мм са опремом за надземне хидранте:
- црево тревира Ø52 мм x 15 м са спојкама x 2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</si>
  <si>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нерђајућег челика - Иноx,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</si>
  <si>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самостојећих ормана од челика ч.0148 - боја РАЛ3000, димензија 1080x540x185 мм са опремом за надземне хидранте:
- црево тревира Ø52 мм x 15 м са спојкама x 4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</si>
  <si>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ч.0148 - боја РАЛ3000,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</si>
  <si>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челичних поцинкованих цеви са свим потребним фазонским комадима (фитинзима), за извођење инсталације водовода у објекту и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сва штемовања и пробијање или дубљење зидова  и међуспратне конструкције,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 у зависности од пречника цеви.</t>
  </si>
  <si>
    <t>ПОЦ Ø 2" (50 мм)</t>
  </si>
  <si>
    <t xml:space="preserve">ПОЦ Ø 2 1/2" (63 мм)
</t>
  </si>
  <si>
    <t>ПОЦ Ø 3" (75 мм)</t>
  </si>
  <si>
    <t xml:space="preserve">ПОЦ Ø 4" (100 мм)
</t>
  </si>
  <si>
    <t>Набавка, транспорт и монтажа кугластог пропусног вентила. Обрачунава се и плаћа по ком. уграђеног вентила.</t>
  </si>
  <si>
    <t>Вентил Ø10 (3/8")</t>
  </si>
  <si>
    <t>Вентил Ø15 (1/2")</t>
  </si>
  <si>
    <t>Вентил Ø20 (3/4")</t>
  </si>
  <si>
    <t>Вентил Ø25 (1")</t>
  </si>
  <si>
    <t>Вентил Ø32 (5/4")</t>
  </si>
  <si>
    <t>Вентил Ø40 (6/4")</t>
  </si>
  <si>
    <t>Вентил Ø50 (2")</t>
  </si>
  <si>
    <t>Вентил Ø63 (2 1/2")</t>
  </si>
  <si>
    <t>Вентил Ø80 (3")</t>
  </si>
  <si>
    <t>Вентил Ø100 (4")</t>
  </si>
  <si>
    <t>Набавка и монтажа челичних носача, разних димензија (ДН50, ДН63, ДН 75 И ДН100) сходно потреби вешања цеви. Обрачунава се и плаћа по метру уграђених цеви заједно са обезбеђењем.</t>
  </si>
  <si>
    <t>ДН 2"</t>
  </si>
  <si>
    <t>ДН 2 1/2"</t>
  </si>
  <si>
    <t>ДН 3"</t>
  </si>
  <si>
    <t>ДН 4"</t>
  </si>
  <si>
    <t>Набавка и постављање лепљењем изолације на видно вођеним цевима хидрантске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</si>
  <si>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ваздушних вентила са једном куглом за уградњу на врху хидрантских вертикала.
Обрачунава се и плаћа по комаду уграђеног вентила у зависности од пречника вентила.</t>
  </si>
  <si>
    <t>Ваздушни вентил Ø  50 мм</t>
  </si>
  <si>
    <t>Ваздушни вентил Ø  80 мм</t>
  </si>
  <si>
    <t>Ваздушни вентил Ø200 мм</t>
  </si>
  <si>
    <t>Набавка и монтажа комплет пожарног хидранта са ормарић од челика ч.0148 - боја РАЛ3000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</si>
  <si>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 за уградњу у зиду</t>
  </si>
  <si>
    <t>- за уградњу на зиду</t>
  </si>
  <si>
    <t>Набавка и монтажа комплет пожарног хидранта са ормарић од нерђајућег челика - иноx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</si>
  <si>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18</t>
  </si>
  <si>
    <t>Испитивање пожарних хидраната на притисак и протицај у свему према важећим прописима, са прибављањем потврде о извршеном испитивању од стране овлашћеног предузећа за ову врсту радова.
Обрачун по комаду.
20 ком</t>
  </si>
  <si>
    <t>Набавка и монтажа апарата за гашење пожара са сувим прахом. Апарат монтирати, окачити типловима на зид  у непосредној близини пожарних хидраната.
Плаћа се по комаду монтираног апарата.</t>
  </si>
  <si>
    <t>Тип С1</t>
  </si>
  <si>
    <t>Тип С1.5</t>
  </si>
  <si>
    <t>Тип С2</t>
  </si>
  <si>
    <t>Тип С3</t>
  </si>
  <si>
    <t>Тип С6</t>
  </si>
  <si>
    <t>Тип С9</t>
  </si>
  <si>
    <t>Тип С50</t>
  </si>
  <si>
    <t>Тип С100</t>
  </si>
  <si>
    <t>Набавка и уграђивање комплет постројења за повећање притиска проивођача Н.П.Цо. Ниш карактеристика постројење ХПК21-2 Q=2.4-5.2л/с, Х=27-19м снаге Н=2x1.1кW са електро орманом И пратећом опремом. Постројење се састоји од две хоризонталне пумпе НВПК32-2, Q=1.2-2.6 л/с, Х=27-19м, 1.1кW са пратећом опремом и ел орманом за погон пумпи са потребном заштитом и аутоматиком. Постројење може бити и другог произвођача сличних карактеристика.</t>
  </si>
  <si>
    <t>Испитивање изведене хидрантске мреже на пробни притисак два пута већи од радног у трајању од 12 сати по испитиваној деоници, по прописима за ову врсту радова. По прегледу мреже, обавезно заменити или поправити сва места на којима је дошло до процуривања. После извршене пробе на притисак, мрежу дезинфиковати, испрати и записнички предати кориснику.
Плаћа се по м' испитане водоводне мреже.</t>
  </si>
  <si>
    <t>20</t>
  </si>
  <si>
    <t>УКУПНО ХИДРАНТСКА МРЕЖА:</t>
  </si>
  <si>
    <t>ИНСТАЛАЦИЈЕ КАНАЛИЗАЦИЈЕ</t>
  </si>
  <si>
    <t>Набавка потребног материјала, извођење свих припремних радова и извођење прикључка канализационе мреже објекта на јавну канализациону мрежу. 
Обрачун по комаду изведеног прикључка.</t>
  </si>
  <si>
    <t>Ø160 на бетонску канализациону шахту</t>
  </si>
  <si>
    <t>Прикључни Ø 160 мм - јавне мреже</t>
  </si>
  <si>
    <t>2</t>
  </si>
  <si>
    <t>Набавка потребног материјала и израда канализационе мреже од пластичних канализационих цеви од тврдог ПВЦ-а за уличну канализацију, за класу оптерећења СН4, са потребним фазонским комадима и заптивним материјалом.У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</si>
  <si>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Ø 50 мм</t>
  </si>
  <si>
    <t>Ø 75 мм</t>
  </si>
  <si>
    <t>Ø 110 мм</t>
  </si>
  <si>
    <t>Ø 125 мм</t>
  </si>
  <si>
    <t>Ø 160 мм</t>
  </si>
  <si>
    <t>Ø 200 мм</t>
  </si>
  <si>
    <t>Ø 250 мм</t>
  </si>
  <si>
    <t>Ø 315 мм</t>
  </si>
  <si>
    <t>Ø 400 мм</t>
  </si>
  <si>
    <t>Ø 500 мм</t>
  </si>
  <si>
    <t>3</t>
  </si>
  <si>
    <t>Набавка потребног материјала и израда канализационе мреже од пластичних канализационих цеви од тврдог ПВЦ-а за кућну канализацију, за класу оптерећења СН2, са потребним фазонским комадима и заптивним материјалом. 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</si>
  <si>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01.02.2016.</t>
  </si>
  <si>
    <t>4</t>
  </si>
  <si>
    <t>Набавка потребног материјала израда и монтажа вентилационе главе од поцинкованог лима д=6мм, са свим потребним опшивањима продора кроз кровни покривач. Обрачун по комаду.</t>
  </si>
  <si>
    <t>Ø  150 мм</t>
  </si>
  <si>
    <t>Набавка потребног материјала израда и монтажа ПВЦ вентилационе капе, са свим потребним опшивањима продора кроз кровни покривач.
Обрачун по комаду.</t>
  </si>
  <si>
    <t>Ø  50 мм</t>
  </si>
  <si>
    <t>Ø  75 мм</t>
  </si>
  <si>
    <t>Ø  110 мм</t>
  </si>
  <si>
    <t>Ø  125 мм</t>
  </si>
  <si>
    <t>Ø  160 мм</t>
  </si>
  <si>
    <t>Ø  200 мм</t>
  </si>
  <si>
    <t>Набавка, транспорт и уградња вентилационе главе ХЛ900  према ЕН12380-1 са заштитном мрежом, масивном гуменом мембраном и дупло изолованим кућиштем за вентилацију секундарних одводних цеви.
Обрачун по комаду.</t>
  </si>
  <si>
    <t>Ø  100 мм</t>
  </si>
  <si>
    <t>Набавка и монтажа ПВЦ сливника, са уграђеним сифоном и подном решетком од нерђајућег лима - иноx. Обрачун по комаду.</t>
  </si>
  <si>
    <t>Ø  50 мм - вертикални</t>
  </si>
  <si>
    <t>Ø  50 мм - хоризонтални</t>
  </si>
  <si>
    <t>Ø  75 мм - вертикални</t>
  </si>
  <si>
    <t>Ø  75 мм - хоризонтални</t>
  </si>
  <si>
    <t>Ø  100 мм - хоризонтални</t>
  </si>
  <si>
    <t>Набавка и монтажа ливеногвозденог сливника, са уграђеним сифоном и подном решетком од нерђајућег лима. Обрачун по комаду.</t>
  </si>
  <si>
    <t>Ø  70 мм - вертикални</t>
  </si>
  <si>
    <t>Набавка, транспорт и уградња АЦО Драин В200 канала са решетком од поцинкованог челика и системом за закључавање решетке, или канала са решетком другог произвођача, сличних карактеристика. Канал уградити у свему према упутству произвођача. Прикључење канала преко вертикалног одвода са двоструком спојницом, ДН 100. Ценом обухваћен сав пратећи материјал за укрштање канала, спајање и повезивање са канализационим цевима.
Обрачунава се и плаћа по м дужном уграђеног канала.</t>
  </si>
  <si>
    <t>АЦО Драин В200</t>
  </si>
  <si>
    <t>ПУРАТОР: Филцотен ЛИГХТ НW 100, мини
Набавка, испорука и монтажа префабрикованог канала са решетком тип: Пуратор-Филцотен ЛИГХТ НW100, мини.
Канал је од Филцотена са класом заштите од пожара А1, светлог отвора НW 100мм, грађевинске висине 55мм ,ширина канала 126мм.
Решетке су од иноxа, димензије 1000/124мм, са окцима отвора МW 5/85, за класу оптерећења А15 КН,са системом закључавања за тело канала, отпорна на базенске хемикалије.
Обрачун: по м' уграђеног канала са свим пратећим елементима по детаљима из пројекта.</t>
  </si>
  <si>
    <t>Филцотен лигхт НW 100, А15кН - туш у гардеробама:
2,7*4+2+3,6+3,95*7 =</t>
  </si>
  <si>
    <t>Филцотен лигхт НW 100, А15кН - туш на плажи:
2,55*4 =</t>
  </si>
  <si>
    <t>Набавка потребног материјала, извођење свих припремних радова и испитивање канализационе мреже. Испитивање вршити пуњењем водом свих канализационих водова. Том приликом треба проверити исправност свих спојева цеви. Код вертикалних водова треба проверити исправност споја унутар цеви, пропуштањем дрвене кугле кроз цеви, чији је пречник 10мм мањи од пречника цеви. Обрачун по м' испитане мреже мерено по оси цеви за све пречнике од Ø50 до Ø250мм.</t>
  </si>
  <si>
    <t>УКУПНО ИНСТАЛАЦИЈЕ КАНАЛИЗАЦИЈЕ:</t>
  </si>
  <si>
    <t>САНИТАРНИ УРЕЂАЈИ И ГАЛАНТЕРИЈА</t>
  </si>
  <si>
    <t xml:space="preserve">Набавка и монтажа комплет керамичког умиваоника Производ "ПОЗЗИ ГИНОРИ" серије "фантасиа 2" цод.50050 димензија 600x465мм, или сличног другог произвођача, са следећим елементима:
- керамичка шкољка умиваоника "Фантасиа 2" 600x465 мм, цод. 50050,
- одливни вентил са металним сифоном и розетом,
- потребан спојни и заптивни материјал.
Обрачун по комаду комплетно монтирано.                                             </t>
  </si>
  <si>
    <t xml:space="preserve">Набавка и монтажа комплет керамичког умиваоника производ Керамика Младеновац, типа Инес код КМ-1-101,  или сличног другог производјача. Умиваоник за зид причврстити одговарајућим типловима и месинганим шрафовима преко подметача од гуме.
- керамичка шкољка умиваоника величине 58x40цм 
- завртњи са типловима
- одливни вентил са металним сифоном и розетом,
- потребан спојни и заптивни материјал.
Обрачун по комаду комплетно монтирано.                                             </t>
  </si>
  <si>
    <t>Набавка и монтажа комплет керамичког уградног умиваоника Производ "ПОЗЗИ ГИНОРИ" серије "Селнова 3" цод.19122 димензија 550x450мм, или сличног другог произвођача, са следећим елементима:
- керамичка шкољка умиваоника "Селнова 3" 550x450 мм, 
- одливни вентил са металним сифоном и розетом,
- потребан спојни и заптивни материјал.
Обрачун по комаду комплетно монтирано.</t>
  </si>
  <si>
    <t>Набавка и монтажа керамичког лавабоа са полустубом или слично, за опремање санитарних чворова.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</si>
  <si>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Пресидент 60 - "Церсанит"</t>
  </si>
  <si>
    <t>Полустуб Пресидент - "Церсанит"</t>
  </si>
  <si>
    <t>Хромирани сифон за одвод "Бономини"</t>
  </si>
  <si>
    <t>"Хансгрохе" батерија тип Фокус Е2</t>
  </si>
  <si>
    <t>Набавка, транспорт и монтажа умиваоника од санитарне керамике беле боје са хромираним сифоном са чепом, ланчићем и розетом комплет са материјалом и алатом потребним за монтажу. Обрачун по комаду.</t>
  </si>
  <si>
    <t>дечији умиваоник (40x30 цм )</t>
  </si>
  <si>
    <t>Набавка и монтажа керамичког лавабоа за особе са инвалидитетом, за опремање санитарне просторије за инвалиде у приземљу.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</si>
  <si>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ИНЦЕА ЕРГОНОМИЦ АД 01 66 x 57</t>
  </si>
  <si>
    <t>Набавка, транспорт и монтажа комплет емајлираног умиваоника - виндабона (емајлирана шкољка, "С" сифони спојни материјал). Шкољку умиваоника поставити на висини 80 цм од пода. Испод шкољке монтирати поникловани сифон Ø32 мм и спојити га са канализацијом.
Обрачунава се и плаћа по комаду уграђеног умиваоника.</t>
  </si>
  <si>
    <t>Набавка и монтажа једноделне кабинет судопере са радном површином од Иноx-а.</t>
  </si>
  <si>
    <t>Једнодела кабинет судопера 80цм</t>
  </si>
  <si>
    <t>Хромирани сифон за одвод</t>
  </si>
  <si>
    <t>Једноручна стојећа хромирана батерија типа "РОСАН ЦУБО-ПЕРЛА" модел ЈП382003, или еквивалент другог произвођача.</t>
  </si>
  <si>
    <t>Набавка и монтажа комплет керамичке блок WЦ шоље   производ “ПОЗЗИ ГИНОРИ”  серија "фантасиа 2" цод. 50360, или сличне другог производјача, по избору пројектанта архитектонског дела пројекта и инвеститора, у свему према упутству производјача. Комплет сачињавају следећи елементи:</t>
  </si>
  <si>
    <t>Блок WЦ шоља  "фантасиа 2"  цод 50360</t>
  </si>
  <si>
    <t>Механизам за узидани водокотлић са зидном плочом,</t>
  </si>
  <si>
    <t xml:space="preserve">Хромирани завртњи са типловима за конзолну WЦ шољу.            </t>
  </si>
  <si>
    <t>Даска са поклопцем за WЦ шољу "фантасиа 2"</t>
  </si>
  <si>
    <t>Остали потребни материјал</t>
  </si>
  <si>
    <t xml:space="preserve">Комплет уграђено плаћа се по комаду. </t>
  </si>
  <si>
    <t>Набавка и монтажа комплет моноблок WЦ-шоље за особе са инвалидитетом са свом припадајућом опремом:
- керамичка шкољка,
- бешумни керамички водокотлић,
- држачи за особе са инвалидитетом лица,
- спојна, испирна цев са гуменим уметком,
- савитљива, спојна цев за водокотлић,
- потребан спојни и заптивни материјал.
Обрачун по комаду све монтирано, повезано и испитано.</t>
  </si>
  <si>
    <t>Набавка и монтажа комплет WЦ шоље, домаће производње И класе. Спој WЦ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Поставити водокотлић типа "Геберит" или еквивалент са потезачем. Са водоводном мрежом повезати преко хромираног вентила и квалитетног црева, а шољом са цеви и гуменом манжетном. Поставити поклопац за шољу од квалитетног ПВЦ-а. Шољу и опрему наручити по избору пројектанта. Обрачун по комаду шоље, комплет.</t>
  </si>
  <si>
    <t>- Симплон</t>
  </si>
  <si>
    <t>- Балтик</t>
  </si>
  <si>
    <t>Набавка, транспорт и монтажа комплет WЦ моноблока од санитарне керамике производ Керамика Младеновац, типа "Кира симплон" КМ-1-565 или сличног другог производјача. Шкољку причврстити за под помоћу месинганих завртњева заврнутих у типлове који су предходно постављени у под. На шкољку поставити даску са поклопацем и повезати је са шкољком одговарајућим завртњима. Славину са чепом за аутоматско прање резервоара спојити са пропусним ЕК вентилом помоћу еластичне цеви.
- моноблок WЦ шоља са испирачем,
- антибактеријска клозетска даска са поклопцем, 
- месингани завртњи са типловима,
- сав неопходан спојни материјал.
Обрачунава се и плаћа по комаду уграђеног WЦ-а.</t>
  </si>
  <si>
    <t>Набавка, транспорт и монтажа комплет WЦ-а од санитарне керамике (керамичка шкољка, керамички испирач, спојна цев, антибактеријска клозетска даска и сав неопходан спојни материјал). Шкољку причврстити за под помоћу месинганих завртњева заврнутих у типлове који су предходно постављени у под. На шкољку поставити поклопац од пластике и повезати га са шкољком одговарајућим завртњима. Славину са чепом за аутоматско прање резервоара спојити са пропусним ЕК вентилом помоћу пластичне цеви. Обрачунава се и плаћа по комаду уграђеног WЦ-а.</t>
  </si>
  <si>
    <t>Набавка и монтажа уградног комплета Геберит Дуофиx УП320.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</si>
  <si>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и монтажа уградног комплета Геберит Дуофиx УП320 за инвалиде.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</si>
  <si>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конзолне WЦ шоље фирме "Церсанит" типа Рома или слично.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</si>
  <si>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"Церсанит" - Рома</t>
  </si>
  <si>
    <t>Даска од белог медијапана</t>
  </si>
  <si>
    <t>Набавка конзолне WЦ шоље за особе са инвалидитетом фирме "Поззи Гинори" или слично другог произвођача.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</si>
  <si>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за инвалиде - "ИНЦЕА" АД 04</t>
  </si>
  <si>
    <t>Зидни држач за инвалиде равни - "КОИН" 750 БРО750</t>
  </si>
  <si>
    <t>Зидни држач за инвалиде покретни - "КОИН" БГО800</t>
  </si>
  <si>
    <t>Набавка и монтажа керамичке шоље трокадеро, "Керамика" Младеновац, са батеријом за хладну воду у зиду. Трокадеро са канализационом мрежом извести са "гензлом" и одговарајућим китом да буде дихтован 100%. Трокадеро поставити преко гумених подметача и причврстити месинганим шрафовима. Поставити водокотлић и зидну батерију за хладну воду, као и вентиле. Поставити заштитну решетку. Шољу и опрему наручити по избору пројектанта. Обрачун по комаду трокадера.</t>
  </si>
  <si>
    <t>Набавка, транспорт и монтажа керамичке шоље зидног писоара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</si>
  <si>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Писоар Таурус Т100 -  "Церсанит"</t>
  </si>
  <si>
    <t>Набавка, транспорт и монтажа керамичке шоље зидног писоара производ фирме "ПОЗЗИ ГИНОРИ" цод. 35536, или сличног другог произвођача,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</si>
  <si>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 xml:space="preserve">Набавка и монтажа комплет керамичког писоара производ Керамика Малденовац, типа Сос, код КМ-1-605  или сличног другог производјача, са следећим елементима:
- керамичка шкољка писоара,
- одливни вентил са металним сифоном и розетом,
- сензорска електронска арматура за испирање писоара,
- угаони вентил,
- дуофиx монтажни елемент Геберит,
- прикључна гарнитура за испирање,
- уградња у кнауф зид,
- потребан спојни и заптивни материјал.
Обрачун по комаду комплетно монтирано.                                             </t>
  </si>
  <si>
    <t>Набавка и монтажа комплет ИЦ електронике писоара (УР60), са магнетним вентилом и сензором са подешавањем и металном покровном плочом хромираном сјајном, са батеријским напајањем 9В. 
Обрачун по комаду уграђено, испитано и спремно за употребу.</t>
  </si>
  <si>
    <t>Набавка и монтажа комплетне акрилне каде, домаће производње И класе. Каду поставити и повезати са одводом сифоном пречника 5/4" са преливом, чепом и ланцем. Обрачун по комаду каде.</t>
  </si>
  <si>
    <t>Обрачунава се и плаћа по комаду уграђене каде.</t>
  </si>
  <si>
    <t>Дужине 120 цм.</t>
  </si>
  <si>
    <t>Набавка, транспорт и монтажа акрилне туш каде димензија 80x80 цм са одливним вентилом. Обрачун   по   комаду   све   постављено и повезано.</t>
  </si>
  <si>
    <t>Набавка и монтажа универзалне угаоне туш кабине Колпа сан или еквивалент. Туш кабина је израђена од алуминијумских профила у белој боји и каљеним стаклом. Отварање врата угаоно, два крила, клизно и затварање помоћу магнетних профила. Висина кабине је 180 цм. Обрачун по комаду туш кабине.</t>
  </si>
  <si>
    <t>Димензија 90x90 цм, полиестер стакло.</t>
  </si>
  <si>
    <t>Набавка и уградња комплет електричног бојлера за вертикално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</si>
  <si>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Бојлера запремине 50 л, снаге грејача 2000 W</t>
  </si>
  <si>
    <t>Бојлера запремине 80 л, снаге грејача 2000 W</t>
  </si>
  <si>
    <t>Бојлера запремине 120 л, снаге грејача 2000 W</t>
  </si>
  <si>
    <t>Набавка и уградња комплет електричног бојлера за хоризонтално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</si>
  <si>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 тип БТ-120С-стојећи, произвођача Терморад за вертикално постављање на поду  или другог произвођача еквивалентних карактеристика.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</si>
  <si>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бојлера-акумулатора топлоте за вертикално постављање на поду. Ценом обухватити цеви за везу бојлера на водоводну инсталациу, циркулацону пумпу и мерач протока. Комплет уграђено, повезано на електромрежу, као и двогодишњу гаранцију. Бојлер са опцијом два измењивача топлоте.
Обрачун по комаду.</t>
  </si>
  <si>
    <t>Бојлера запремине 3000 л, снаге грејача 3x6000 W</t>
  </si>
  <si>
    <t>Набавка и монтажа комплет електричног нискомонтажног бојлера. Ценом обухватити и потребне хромоване савитљиве цеви за везу са батеријом, као и двогодишњу гаранцију.
Обрачун по комаду.</t>
  </si>
  <si>
    <t>Бојлера запремине   5 л, снаге грејача 2000 W</t>
  </si>
  <si>
    <t>Бојлера запремине 10 л, снаге грејача 2000 W</t>
  </si>
  <si>
    <t>Набавка и монтажа проточног бојлера, запремине 5 литара у кабини за инвалиде на висини од 2м. Електрични бојлер поставити и повезати са електричном енергијом. Обрачун по комаду бојлера.</t>
  </si>
  <si>
    <t xml:space="preserve">Набавка и монтажа зидне једноручне хромиране батерије за умиваоник И судоперу, са покретним изливом, за топлу и хладну воду. Између зида и батерије поставити розете. Батерију пажљиво поставити, да се хром не оштети.
Обрачун по комаду батерије.
</t>
  </si>
  <si>
    <t>Набавка, транспорт и монтажа стојеће славине за хладну воду за виндабону.
Обрачунава се и плаћа по уграђеном комаду</t>
  </si>
  <si>
    <t>Набавка, транспорт и монтажа славине Ø20 мм са холендером.
Обрачунава се и плаћа по уграђеној славини.</t>
  </si>
  <si>
    <t>Набавка и монтажа стојеће једноручне батеије, за хладну воду типа "РОСАН ПЕРЛА" модел ЈП541001, или еквивалент другог произвођача. Славину пажљиво поставити, да се не оштети. Обрачун по комаду славине.</t>
  </si>
  <si>
    <t>пречника 1/2", са фиксним изливом</t>
  </si>
  <si>
    <t>15</t>
  </si>
  <si>
    <t xml:space="preserve">Набавка и монтажа стојеће једноручне батерије за умиваоник, за хладну и топлу воду, са везом за нискомонтажни проточни бојлер, перлатором, хромованом ручицом и розетом, производ "РОСАН ЦУБО-ПЕРЛА" модел ЈП301001, или еквивалент другог произвођача. Батерију пажљиво поставити, да се не оштети. Обрачун по комаду. </t>
  </si>
  <si>
    <t>Набавка и монтажа стојеће једноручне батерије за умиваоник, са везом на угаоне вентиле, перлатором, хромованом ручицом и розетом, пеоизвод "УНИТАС" модел 0073 , или сличне другог произвођача. 
Обрачун по комаду.</t>
  </si>
  <si>
    <t xml:space="preserve">Набавка и монтажа стојеће једноручне батерије за умиваоник  са везом за нискомонтажни проточни бојлер, перлатором, хромованом ручицом и розетом, пеоизвод "УНИТАС" модел 01003, или сличне другог произвођача.
Обрачун по комаду. </t>
  </si>
  <si>
    <t>16</t>
  </si>
  <si>
    <t>Набавка и монтажа стојеће једноручне батерије за судоперу, са покретним испустом 200мм, перлатором, хромованом ручицом и розетама, производ "УНИТАС" модел 00134 или слична другог произвођача. 
Обрачун по комаду.</t>
  </si>
  <si>
    <t>Набавка и монтажа зидне једноручне батерије за судоперу, са покретним испустом 200мм, перлатором, хромованом ручицом и розетама, пеоизвод "УНИТАС" модел 00251 или слична другог произвођача. 
Обрачун по комаду.</t>
  </si>
  <si>
    <t>Набавка и монтажа једноручне зидне батерије за туш каду, са цревом, ручицом за туш и розетама, производ "РОСАН ЦУБО-ПЕРЛА" модел ЈП371001, или еквивалент другог произвођача. 
Обрачун по комаду.</t>
  </si>
  <si>
    <t>17</t>
  </si>
  <si>
    <t>Набавка и монтажа једноручне зидне батерије за туш каду, са зидном шипком, цревом и ручицом за туш и розетама, производ "УНИТАС" модел 00471, или слична другог произвођача. 
Обрачун по комаду.</t>
  </si>
  <si>
    <t>Набавка и монтажа уградног туш сета за тушеве у гардеробама, са тушем и механизмом за регулисање протока воде. 
Обрачун по комаду.</t>
  </si>
  <si>
    <t>Набавка и уградња у мокрим чворовима огледала од стакла дебљине 4 мм, са брушеним ивицама. Ценом обухваћен и потребан спојни материјал. Мере узимати на лицу места у договору с надзорним органом. Оријентационе димензије огледала 75 x 50 цм.
Обрачун по комаду.</t>
  </si>
  <si>
    <t>Набавка и уградња термостатске мешалице ГРОХЕ Рапидо Т 35500 Универзална термостатска мешалица, уградна. Уградња обавезна у просторе дечијих санитарних чворова ради контроле нивоа топлине воде.
Обрачун по комаду.</t>
  </si>
  <si>
    <t>Набавка и уградња у мокром чвору огледала подесивог за особе са инвалидитетом. Огледало је у алуминијумском раму са могућношћу подешавања под углом око хоризонталне осе на доле. Причвршћивање типловима и вијцима. Ценом обухватити и потребан спојни материјал. Мере узимати на лицу места у договору с надзорним органом. Оријентационе димензије огледала 75 x 90 цм.
Обрачун по комаду.</t>
  </si>
  <si>
    <t>Набавка, транспорт и монтажа керамичке полице изнад умиваоника.
Обрачунава се и плаћа по уграђеном комаду.</t>
  </si>
  <si>
    <t>Набавка прибора за опремање санитарног блока санитарном галантеријом: држача течног сапуна, диспензера за убрусе и тоалет папир са бравицом и кључем, канте за отпатке, куке за гардеробу и пиктограм за обележавање Тоалета произвођача "КИМБЕРЛY ЦЛАРК ", "Унионцлеан", "Минотти", "Росан" или еквивалент. Све елементе који се уграђују извести према упутству произвођача.
Обрачун по комаду.</t>
  </si>
  <si>
    <t>Дозатор за сапун</t>
  </si>
  <si>
    <t>Диспензер за убрусе</t>
  </si>
  <si>
    <t>Диспензер за тоалет папир</t>
  </si>
  <si>
    <t>Диспензер пресвлака за даску WЦ шоље</t>
  </si>
  <si>
    <t>Четка за одржавање WЦ шоље - Иноx</t>
  </si>
  <si>
    <t>Канта за одпатке са педалом - Иноx</t>
  </si>
  <si>
    <t>Куке за WЦ и гардеробу - Иноx</t>
  </si>
  <si>
    <t>Набавка и монтажа апарата за сушење руку са оклопом од Иноx-а, мотором од 250W и грејачем од 2000 W, произвођача "Унионцлеан" или сличног другог произвођача.
Обрачун по комаду.</t>
  </si>
  <si>
    <t>Набавка и монтажа на зиду поред умиваоника   посуде за течни сапун од иноx-а, производ  по избору пројектанта архитектонског дела пројекта и инвеститора. 
Обрачун по комаду.</t>
  </si>
  <si>
    <t>Набавка и монтажа на зиду поред умиваоника дражача за рол папир за брисање руку, производ по избору пројектанта архитектонског дела елабората и инвеститора. 
Обрачун по комаду.</t>
  </si>
  <si>
    <t>Набавка, транспорт и монтажа изнад туш каде пониклованог, решеткастог држача сапуна.
Обрачун по комаду комплетно монтирано.</t>
  </si>
  <si>
    <t>Набавка, транспорт и монтажа великога држача пешкира поред каде.
Обрачунава се и плаћа по уграђеном комаду.</t>
  </si>
  <si>
    <t>Набавка и монтажа на зиду поред WЦ шоље држача за тоалет рол папир,  производ по избору пројектанта архитектонског дела елабората и инвеститора. Обрачун по комаду.</t>
  </si>
  <si>
    <t>Набавка, транспорт и монтажа диспензера пресвлака за даску WЦ-шоље.</t>
  </si>
  <si>
    <t>Обрачунава се и плаћа по уграђеном комаду.</t>
  </si>
  <si>
    <t>Набавка и постављање на зиду поред WЦ шоље  држача са четком за WЦ шољу,  производ по избору пројектанта архитектонског дела елабората и инвеститора. Обрачун по комаду.</t>
  </si>
  <si>
    <t>Набавка и постављање  поред умиваоника и WЦ шоље  корпа за отпатке-иноx фи/х= 30/60 цм, производ по избору пројектанта архитектонског дела елабората и инвеститора. 
Обрачун по комаду.</t>
  </si>
  <si>
    <t>Набавка, транспорт и монтажа поникловане двокраке куке за вешање гардеробе. Куке поставити у купатилима гардероба у договору с надзорним органом.
Обрачунава се и плаћа по уграђеном комаду.</t>
  </si>
  <si>
    <t>УКУПНО САНИТАРНИ УРЕЂАЈИ И ГАЛАНТЕРИЈА:</t>
  </si>
  <si>
    <t>I</t>
  </si>
  <si>
    <t>И</t>
  </si>
  <si>
    <t>ГРАЂЕВИНСКИ РАДОВИ</t>
  </si>
  <si>
    <t>Раскопавање асфалтних површина ван објекта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</si>
  <si>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 водоводна мрежа</t>
  </si>
  <si>
    <t>- хидрантска мрежа</t>
  </si>
  <si>
    <t>- канализациона мрежа</t>
  </si>
  <si>
    <t>Раскопавање бетонских површина и подова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</si>
  <si>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Ископ земље за каналске ровове водоводне или  канализационе мреже, водоводна окна и ревизионе шахте у терену ИИИ категорије са правилним одсецањем бочних страна и грубим планирањем дна рова према пројектованим котама и падовима.  Ископану земљу одбацити на једну страну рова, најмање 1.0 м од ивице рова и обезбедити од обрушавања, у складу са прописима за дату врсту ископа. Јединачном ценом обухваћено је црпљење евентуалне подземне воде и сво, по прописима, потребно  разупирање рова. Детаљ разупирања даје извођач радова у зависности од начина ископа, према статичком прорачуну и техничким прописима за одређену дубину каналског рова.
Обрачун по м3 ископаног рова.</t>
  </si>
  <si>
    <t>- водоводна И хидрантска мрежа
(1.91+8.35+2.00)*0.6*1.1+3.4*1.9*2 =</t>
  </si>
  <si>
    <t>- канализациона мрежа
(3.02+5.15+3.05+9.55)*0.8*1.6 +3*1.32*1.70=</t>
  </si>
  <si>
    <t>Фино планирање дна рова у одговарајућем нагибу за плагање водоводних или канализационих цеви, а пре убацивања песка у ров и израде постељице.
Обрачун по м2 планираног рова.</t>
  </si>
  <si>
    <t>- водоводна И хидрантска мрежа
(1.91+8.35+2.00)*0.6+3.4*1.9 =</t>
  </si>
  <si>
    <t>- канализациона мрежа
(3.02+5.15+3.05+9.55)*0.8 +3*1.32=</t>
  </si>
  <si>
    <t xml:space="preserve">Набавка транспорт и убацивање песка у ров за израду постељице водоводних или канализационих цеви  и затрпавање цеви у слоју најмање дебњине 10+Д+10 цм. Пре полагања цеви песак разастрти у слоју од 10 цм и изравнати. По извршеном полагању и испитивању цеви, песком затрпати цев са подбијањем око цеви. Остатак песка разастрти изнад цеви у слоју од 10 цм. Максимална крупноћа песка 3 - 4 мм. 
Обрачун по м3 убаченог песка. </t>
  </si>
  <si>
    <t>- водоводна И хидрантска мрежа</t>
  </si>
  <si>
    <t>ауто</t>
  </si>
  <si>
    <t>Набавка и транспорт шљунка природне гранулације и затрпавање каналског рова шљунком,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изведене водоводне/канализационе мреже. При затрпавању шљунак набијати у слојевима од 10 - 20 цм, до потребне збијености, водећи рачуна да не дође до оштетећења цеви.
Обрачун по м3 затрпаног рова.</t>
  </si>
  <si>
    <t>Затрпавање каналског рова материјалом из ископа,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водоводне или канализационе мреже. Код затрпавања водити рачуна да први слој буде ситна земља, без крупнијих комада и камена који би могли да оштете цеви. При затрпавању земљу набијати у слојевима од 10 - 20 цм, до потребне збијености, водећи рачуна да не дође до оштетећења цеви.
Обрачун по м3 затрпаног рова.</t>
  </si>
  <si>
    <t>Утовар и транспорт ископаног материјала на депонију на удаљености до 10 км са грубим планирањем на депонији. Обрачун по м3.</t>
  </si>
  <si>
    <t>Набавка потребног материјала и израда изолације водоводне мреже, која се полаже у рову или испод пода у слоју песка, изолационим плаштом типа "КОНДОР-3" или одговарајућом другог производјача, са варењем спојева. 
Обрачун по м' изведене изолације.</t>
  </si>
  <si>
    <t xml:space="preserve">Ø 32 мм </t>
  </si>
  <si>
    <t xml:space="preserve">Ø 50 мм </t>
  </si>
  <si>
    <t xml:space="preserve">Ø 75 мм </t>
  </si>
  <si>
    <t>Набавка потребног материјала и израда армирано бетонске водоводне шахте од бетона МБ20 са армиранобетонским зидовима дебљине 20 цм. Дно шахте од неармираног бетона МБ20 дебљине 12 цм. Горња плоча шахте дебљине 15 цм са отвором за силаз и постављање ливено-гвозденог поклопца са рамом за тешки саобраћај
Обрачун по комаду изведене шахте, у свему према детаљима у пројекту, у зависности од димензија шахте.</t>
  </si>
  <si>
    <t>шахта унутрашњих димензија 150x150x160 цм</t>
  </si>
  <si>
    <t>шахта унутрашњих димензија 240x140x160 цм</t>
  </si>
  <si>
    <t>шахта унутрашњих димензија 340x190x200 цм</t>
  </si>
  <si>
    <t>Набавка, транспорт, превоз дуж трасе и уграђивање ливено-гвоздених поклопаца квадратног облика са рамом светлог отвора димензија 600x600мм/х=80мм мм за тешки саобраћај.
Обрачун по комаду уграђеног поклопца.</t>
  </si>
  <si>
    <t>За тешки саобраћај</t>
  </si>
  <si>
    <t>Набавка материјала и израда бетонских анкер блокова за ослањање и сидрење цеви, фазонских комада и арматуре водоводне мреже и бетонских постоља за постављање надземних хидраната и хидрантских самостојећих ормана. У цену је урачуната и потребна оплата.
Обрачунава се и плаћа по м3 уграђеног бетона.</t>
  </si>
  <si>
    <t>Набавка потребног материјала и израда бетонских ревизионих силаза светлог отвора 1000 мм, од готових бетонских елемената за израдом бетонског дна силаза са кинетом од бетона МБ 20. У цену је обрачуната набавка и транспорт потребног материјала, израда и обрада кинете,потребни фазонски комади, као и обрада унутрашњих зидова цементним малтером. 
Обрачун по м' изведеног силаза мерено од дна кинете до горње ивице поклопца.</t>
  </si>
  <si>
    <t>- фекална канализациона мрежа</t>
  </si>
  <si>
    <t>Набавка, испорука и монтажа ливено-гвоздених поклопаца од нодуларног лива тип "Пуратор П-Топ" П11250ДX или Д1-X, произведен и тестиран у складу са ЕН 124; Светлог отвора ДН 600 мм, уградбене висине 75 мм и спољног пречника рама 785 мм, класе носивости 250 кН са (без) отвором за вентилацију; Поклопац је са интегрисаним еластомерним улошком против буке и закључавањем са двоструком опругом у поклопцу. Могућност фиксирања поклопца на 90° при затварању и у отвореној позицији на 100°. Поклопац је намењен за саобраћајнице са умереним интензитетом саобраћаја. Или производ другог произвођача еквивалентних карактеристика. Обрачун по комаду уграђеног поклопца са рамом.</t>
  </si>
  <si>
    <t>Поклопац тежине 52,5 кг</t>
  </si>
  <si>
    <t>Набавка, испорука и монтаза ливено-гвоздених поклопаца од нодуларног лива тип "Пуратор -П-Топ Л" ПУР 11400ДЛX произведен и тестиран у складу са ЕН 124; Светлог отвора ДН 600 мм, уградбене висине 105 мм и спољног прецника рама 785 мм, класе носивости 400 кН са (без) отвора за вентилацију; Поклопац је са интегрисаним еластомерним улоском против буке и закљуцавањем са двоструком опругом у поклопцу. Могуцност фиксирања поклопца на 90 ° при затварању и у отвореној позицији на 100°. Поклопац је намењен за саобрацајнице са умереним интензитетом саобрацаја.  Или производ другог произвођача еквивалентних карактеристика. Обрачун по комаду.</t>
  </si>
  <si>
    <t>Водовод:</t>
  </si>
  <si>
    <t xml:space="preserve">Фекална канализација: </t>
  </si>
  <si>
    <t>Набавка, испорука и монтажа ПУРАНОX поклопца за испуну за различите површине, израђеног од нерђајућег челика В2А. Поклопац је гасно и водонепропустан са специјалним гуменим дихтунгом и шрафовима од нерђајућег челика. Поклопац је намењен за класу оптерећења Б125 у складу са ЕН124, са одговарајућом испуном од бетона коју израђује купац у складу са упутствима произвођача. Димензије светлог отвора су 1000x1000мм, а градјевинске мере су 1085x1085мм,висина рама 75мм Тип поклопца је Пуратор 1065БВЕ-110К. Или производ другог произвођача еквивалентних карактеристика. Поклопац за ревизију компензационих базена. Обрачун по комаду.
3ком =</t>
  </si>
  <si>
    <t>Набавка, транспорт и уградња бетонског сепаратора масти тип ЛИПУМАX НС1-2 СФ200Л,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</si>
  <si>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транспорт и уградња коалесцентни сепаратор нафтних деривата за уградњу у земљу од полиетилена ОЛЕОПАТОР-К ПЕХД НГ10 СФ2500,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</si>
  <si>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испорука и монтажа коалесцентног сепаратора минералних течности у АБ резервоару, тип "Пуратор БЛУЕ МАX: • БС-6/60-2,0-1,5"; са интегрисаним таложником 2 м3. Номинални проток сепаратора НГ 6 л/с, максимални проток кроз бy-пасс 60 л/с; Уградбена висина 2600 мм, унутрашњи пречник 1500 мм, кота дна улива цеви 815 мм; пречник улива/излива ДН315мм. Саставни делови су: армирано бетонски базен са унутрашњим заштитним премазом, интегрисан бy-пасс вод, коалесцентни филтер са пловком , ливено гвоздени поклопци ревизионих отвора намењени за класу оптерећења Д400; Заједно са бетонирањем подлоге димензија основе сепаратора и спуштањем сепаратора, повезивањем улива-излива и затрпавањем. Или производ другог произвођача еквивалентних карактеристика. Обрачун по комаду, комплет уграђено и пуштено у рад.
1 ком</t>
  </si>
  <si>
    <t>Израда армирано-бетонског шахта у просторији подстанице, дебљине зидова 10цм И дебљина подне плоче 10цм. У цену шахта је урачунат поклопац-решетка од челичних прохила. Обрачун по комаду изведеног шахта.</t>
  </si>
  <si>
    <t>Додатак за непредвиђене радове. Обзиром да се ради о јавном пословном објекту, који је у функцији / који се реконструише / постојећи се руши и гради нов /  и не постоји катастар подземних инсталација, неопходно је предвидети средства за непредвиђене радове према процени до 10% од укупних трошкова за грађевинске радове.
Обрачун по одобрењу надзорног органа и фактурама за стварно настале трошкове укључујући рад и материјал.
Обрачунава се паушално.</t>
  </si>
  <si>
    <t>УКУПНО ГРАЂЕВИНСКИ РАДОВИ:</t>
  </si>
  <si>
    <t>II</t>
  </si>
  <si>
    <t>III</t>
  </si>
  <si>
    <t>IV</t>
  </si>
  <si>
    <t>V</t>
  </si>
  <si>
    <t>VI</t>
  </si>
  <si>
    <t>ДЕМОНТАЖА:</t>
  </si>
  <si>
    <t xml:space="preserve">ГРАЂЕВИНСКИ РАДОВИ:                                          </t>
  </si>
  <si>
    <t>ИНСТАЛАЦИЈЕ ВОДОВОДА:</t>
  </si>
  <si>
    <t>ХИДРАНТСКА МРЕЖА:</t>
  </si>
  <si>
    <t>ИНСТАЛАЦИЈЕ КАНАЛИЗАЦИЈЕ:</t>
  </si>
  <si>
    <t>САНИТАРНИ УРЕЂАЈИ И ГАЛАНТЕРИЈА:</t>
  </si>
  <si>
    <t>уз  пројекат  ЕЛЕКТРОЕНЕРГЕТСКИХ ИНСТАЛАЦИЈА објекта " Прекршајни суд у Пожаревцу"  спратности П+2</t>
  </si>
  <si>
    <t>(1)</t>
  </si>
  <si>
    <t>(2)</t>
  </si>
  <si>
    <t>(3)</t>
  </si>
  <si>
    <t>(6)=(5)*(4)</t>
  </si>
  <si>
    <t xml:space="preserve">     А.     </t>
  </si>
  <si>
    <t>ГРАЂЕВИНСКИ  РАДОВИ:</t>
  </si>
  <si>
    <t>кол.</t>
  </si>
  <si>
    <t>цена</t>
  </si>
  <si>
    <t>укупно</t>
  </si>
  <si>
    <r>
      <t>Обележавање трасе, припрема са чишћењем исте, ископ и затрпавање рова у земљи</t>
    </r>
    <r>
      <rPr>
        <b/>
        <sz val="10"/>
        <rFont val="Arial"/>
        <family val="2"/>
      </rPr>
      <t xml:space="preserve"> III</t>
    </r>
    <r>
      <rPr>
        <sz val="10"/>
        <rFont val="Arial"/>
        <family val="0"/>
      </rPr>
      <t xml:space="preserve"> категорије за полагање енергетског напојног кабла дубине </t>
    </r>
    <r>
      <rPr>
        <b/>
        <sz val="10"/>
        <rFont val="Arial"/>
        <family val="2"/>
      </rPr>
      <t>0,8m</t>
    </r>
    <r>
      <rPr>
        <sz val="10"/>
        <rFont val="Arial"/>
        <family val="0"/>
      </rPr>
      <t xml:space="preserve"> ширине</t>
    </r>
    <r>
      <rPr>
        <b/>
        <sz val="10"/>
        <rFont val="Arial"/>
        <family val="2"/>
      </rPr>
      <t xml:space="preserve"> 0,4m</t>
    </r>
    <r>
      <rPr>
        <sz val="10"/>
        <rFont val="Arial"/>
        <family val="0"/>
      </rPr>
      <t>, по дну рова насути слој песка дебљине 1</t>
    </r>
    <r>
      <rPr>
        <b/>
        <sz val="10"/>
        <rFont val="Arial"/>
        <family val="2"/>
      </rPr>
      <t>0m</t>
    </r>
    <r>
      <rPr>
        <sz val="10"/>
        <rFont val="Arial"/>
        <family val="0"/>
      </rPr>
      <t xml:space="preserve">.  По полагању кабла насути још један слој песка дебљине </t>
    </r>
    <r>
      <rPr>
        <b/>
        <sz val="10"/>
        <rFont val="Arial"/>
        <family val="2"/>
      </rPr>
      <t>10cm</t>
    </r>
    <r>
      <rPr>
        <sz val="10"/>
        <rFont val="Arial"/>
        <family val="0"/>
      </rPr>
      <t xml:space="preserve"> а после тога поређати ред </t>
    </r>
    <r>
      <rPr>
        <b/>
        <sz val="10"/>
        <rFont val="Arial"/>
        <family val="2"/>
      </rPr>
      <t>PVC GAL</t>
    </r>
    <r>
      <rPr>
        <sz val="10"/>
        <rFont val="Arial"/>
        <family val="0"/>
      </rPr>
      <t xml:space="preserve"> штитника и </t>
    </r>
    <r>
      <rPr>
        <b/>
        <sz val="10"/>
        <rFont val="Arial"/>
        <family val="2"/>
      </rPr>
      <t>PVC</t>
    </r>
    <r>
      <rPr>
        <sz val="10"/>
        <rFont val="Arial"/>
        <family val="0"/>
      </rPr>
      <t xml:space="preserve"> траку упозорења. Остатак рова затрпати земљом у слојевима од по </t>
    </r>
    <r>
      <rPr>
        <b/>
        <sz val="10"/>
        <rFont val="Arial"/>
        <family val="2"/>
      </rPr>
      <t>20cm</t>
    </r>
    <r>
      <rPr>
        <sz val="10"/>
        <rFont val="Arial"/>
        <family val="0"/>
      </rPr>
      <t xml:space="preserve"> са набијањем земље до постизања збијености сличне оној пре вршења ископа. Вишак   земље испланирати на околном терену или је извести ван градилишта до </t>
    </r>
    <r>
      <rPr>
        <b/>
        <sz val="10"/>
        <rFont val="Arial"/>
        <family val="2"/>
      </rPr>
      <t>100m</t>
    </r>
    <r>
      <rPr>
        <sz val="10"/>
        <rFont val="Arial"/>
        <family val="0"/>
      </rPr>
      <t xml:space="preserve">. Укупна дужина кабловског рова је око </t>
    </r>
    <r>
      <rPr>
        <b/>
        <sz val="10"/>
        <rFont val="Arial"/>
        <family val="2"/>
      </rPr>
      <t>80m</t>
    </r>
    <r>
      <rPr>
        <sz val="10"/>
        <rFont val="Arial"/>
        <family val="0"/>
      </rPr>
      <t xml:space="preserve">, (праву дужину каблова узети на лицу места приликом трасирања и извођења радова), што укупно износи:  
 </t>
    </r>
  </si>
  <si>
    <t>m3</t>
  </si>
  <si>
    <t xml:space="preserve">Обележавање трасе glavnog напојног енергетског  кабла посебним ознакама за регулисане и  терене, што укупно износи: 
                                       </t>
  </si>
  <si>
    <r>
      <t>Извршити искључивање постојеће и трафо-станице</t>
    </r>
    <r>
      <rPr>
        <b/>
        <sz val="10"/>
        <rFont val="Arial"/>
        <family val="2"/>
      </rPr>
      <t xml:space="preserve"> ТS-10/0,4kV "Sud",(350157)</t>
    </r>
    <r>
      <rPr>
        <sz val="10"/>
        <rFont val="Arial"/>
        <family val="0"/>
      </rPr>
      <t xml:space="preserve">  и повезивање glavnog напојног кабла предметног објекта на постојећи нисконапонски стуб, што укупно износи:   
 </t>
    </r>
  </si>
  <si>
    <t xml:space="preserve">Снимање трасе главног кабловског вода од стране надлежног геодетског предузећа као и достављање елабората снимања надлежној Електродистрибуцији и надлежном катастру непокретности, што укупно паушално износи: 
 </t>
  </si>
  <si>
    <t>паушал</t>
  </si>
  <si>
    <t xml:space="preserve">     А.      ГРАЂЕВИНСКИ  РАДОВИ УКУПНО :</t>
  </si>
  <si>
    <t>Б.</t>
  </si>
  <si>
    <t>РАЗВОДНИ ОРМАНИ:</t>
  </si>
  <si>
    <r>
      <t xml:space="preserve">Испорука и монтажа главно мерно разводног ормана </t>
    </r>
    <r>
      <rPr>
        <b/>
        <sz val="10"/>
        <rFont val="Arial"/>
        <family val="2"/>
      </rPr>
      <t xml:space="preserve">(M.R.O.) </t>
    </r>
    <r>
      <rPr>
        <sz val="10"/>
        <rFont val="Arial"/>
        <family val="0"/>
      </rPr>
      <t xml:space="preserve">који се монтира на предвиђеном месту на спољњој фасади објекта. Мерно разводни орман  је израђен од два пута декапираног лима или тврдог полиестра  еквивалентан типу: </t>
    </r>
    <r>
      <rPr>
        <b/>
        <sz val="10"/>
        <rFont val="Arial"/>
        <family val="2"/>
      </rPr>
      <t>"FEMAN"</t>
    </r>
    <r>
      <rPr>
        <sz val="10"/>
        <rFont val="Arial"/>
        <family val="0"/>
      </rPr>
      <t xml:space="preserve">- Јагодина, димензија </t>
    </r>
    <r>
      <rPr>
        <b/>
        <sz val="10"/>
        <rFont val="Arial"/>
        <family val="2"/>
      </rPr>
      <t>(600x780x235)mm</t>
    </r>
    <r>
      <rPr>
        <sz val="10"/>
        <rFont val="Arial"/>
        <family val="0"/>
      </rPr>
      <t xml:space="preserve">. Главни мерно разводни орман </t>
    </r>
    <r>
      <rPr>
        <b/>
        <sz val="10"/>
        <rFont val="Arial"/>
        <family val="2"/>
      </rPr>
      <t>(M.R.O.)</t>
    </r>
    <r>
      <rPr>
        <sz val="10"/>
        <rFont val="Arial"/>
        <family val="0"/>
      </rPr>
      <t xml:space="preserve"> у себи садрже:
 -1ком. главни прекидач еквивалентан типу: 
   </t>
    </r>
    <r>
      <rPr>
        <b/>
        <sz val="10"/>
        <rFont val="Arial"/>
        <family val="2"/>
      </rPr>
      <t>"NS-160/100А"</t>
    </r>
    <r>
      <rPr>
        <sz val="10"/>
        <rFont val="Arial"/>
        <family val="0"/>
      </rPr>
      <t xml:space="preserve">, </t>
    </r>
    <r>
      <rPr>
        <b/>
        <sz val="10"/>
        <rFont val="Arial"/>
        <family val="2"/>
      </rPr>
      <t>"Schneider Electric"</t>
    </r>
    <r>
      <rPr>
        <sz val="10"/>
        <rFont val="Arial"/>
        <family val="0"/>
      </rPr>
      <t xml:space="preserve">.
 -1ком. aутоматска осигурачи еквивалентни типу: 
</t>
    </r>
    <r>
      <rPr>
        <b/>
        <sz val="10"/>
        <rFont val="Arial"/>
        <family val="2"/>
      </rPr>
      <t xml:space="preserve">    "C60N20А", 6кА, 3P,"Schneider Electric".
</t>
    </r>
    <r>
      <rPr>
        <sz val="10"/>
        <rFont val="Arial"/>
        <family val="0"/>
      </rPr>
      <t xml:space="preserve"> -2ком. aутоматска осигурачи еквивалентни типу: </t>
    </r>
    <r>
      <rPr>
        <b/>
        <sz val="10"/>
        <rFont val="Arial"/>
        <family val="2"/>
      </rPr>
      <t xml:space="preserve">
    "C60N25А", 6кА, 3P,"Schneider Electric".
 </t>
    </r>
    <r>
      <rPr>
        <sz val="10"/>
        <rFont val="Arial"/>
        <family val="0"/>
      </rPr>
      <t xml:space="preserve">-1ком. aутоматска осигурачи еквивалентни типу: </t>
    </r>
    <r>
      <rPr>
        <b/>
        <sz val="10"/>
        <rFont val="Arial"/>
        <family val="2"/>
      </rPr>
      <t xml:space="preserve">
    "C60N32А", 6кА, 3P,"Schneider Electric".</t>
    </r>
    <r>
      <rPr>
        <sz val="10"/>
        <rFont val="Arial"/>
        <family val="0"/>
      </rPr>
      <t xml:space="preserve">
 -3ком. струјна трансформатора еквивалентних типу:
    </t>
    </r>
    <r>
      <rPr>
        <b/>
        <sz val="10"/>
        <rFont val="Arial"/>
        <family val="2"/>
      </rPr>
      <t>"STEM 081-100/5А"</t>
    </r>
    <r>
      <rPr>
        <sz val="10"/>
        <rFont val="Arial"/>
        <family val="0"/>
      </rPr>
      <t xml:space="preserve">, </t>
    </r>
    <r>
      <rPr>
        <b/>
        <sz val="10"/>
        <rFont val="Arial"/>
        <family val="2"/>
      </rPr>
      <t>"FMТ"</t>
    </r>
    <r>
      <rPr>
        <sz val="10"/>
        <rFont val="Arial"/>
        <family val="0"/>
      </rPr>
      <t xml:space="preserve"> Зајечар.
 -1ком.трофазно двотарифно полуиндиректно бројило
    еквивалентно типу:</t>
    </r>
    <r>
      <rPr>
        <b/>
        <sz val="10"/>
        <rFont val="Arial"/>
        <family val="2"/>
      </rPr>
      <t>"DMG2 UC OC 4T"</t>
    </r>
    <r>
      <rPr>
        <sz val="10"/>
        <rFont val="Arial"/>
        <family val="0"/>
      </rPr>
      <t>,</t>
    </r>
    <r>
      <rPr>
        <b/>
        <sz val="10"/>
        <rFont val="Arial"/>
        <family val="2"/>
      </rPr>
      <t>"ЕNEL"</t>
    </r>
    <r>
      <rPr>
        <sz val="10"/>
        <rFont val="Arial"/>
        <family val="0"/>
      </rPr>
      <t xml:space="preserve"> Бгд.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шемиранје 
узети по потреби). Комплетно поставлјанје и 
повезиванје главног мерно разводног ормана </t>
    </r>
    <r>
      <rPr>
        <b/>
        <sz val="10"/>
        <rFont val="Arial"/>
        <family val="2"/>
      </rPr>
      <t>(M.R.O.),</t>
    </r>
    <r>
      <rPr>
        <sz val="10"/>
        <rFont val="Arial"/>
        <family val="0"/>
      </rPr>
      <t xml:space="preserve"> што укупно износи:      
</t>
    </r>
  </si>
  <si>
    <r>
      <t xml:space="preserve">Испорука и монтажа спратне разводне потабле     </t>
    </r>
    <r>
      <rPr>
        <b/>
        <sz val="10"/>
        <rFont val="Arial"/>
        <family val="2"/>
      </rPr>
      <t>(R.T.</t>
    </r>
    <r>
      <rPr>
        <b/>
        <sz val="8"/>
        <rFont val="Arial"/>
        <family val="2"/>
      </rPr>
      <t>1</t>
    </r>
    <r>
      <rPr>
        <b/>
        <sz val="10"/>
        <rFont val="Arial"/>
        <family val="2"/>
      </rPr>
      <t>.)</t>
    </r>
    <r>
      <rPr>
        <sz val="10"/>
        <rFont val="Arial"/>
        <family val="0"/>
      </rPr>
      <t xml:space="preserve"> који се монтира на предвиђеном месту у приземљу објекта.Разводна потабла</t>
    </r>
    <r>
      <rPr>
        <b/>
        <sz val="10"/>
        <rFont val="Arial"/>
        <family val="2"/>
      </rPr>
      <t xml:space="preserve"> (R.T.</t>
    </r>
    <r>
      <rPr>
        <b/>
        <sz val="8"/>
        <rFont val="Arial"/>
        <family val="2"/>
      </rPr>
      <t>1</t>
    </r>
    <r>
      <rPr>
        <b/>
        <sz val="10"/>
        <rFont val="Arial"/>
        <family val="2"/>
      </rPr>
      <t>.)</t>
    </r>
    <r>
      <rPr>
        <sz val="10"/>
        <rFont val="Arial"/>
        <family val="0"/>
      </rPr>
      <t xml:space="preserve"> садржи:
 -1ком.главни прекидач еквивалентан типу:</t>
    </r>
    <r>
      <rPr>
        <b/>
        <sz val="10"/>
        <rFont val="Arial"/>
        <family val="2"/>
      </rPr>
      <t>"NS-63A"</t>
    </r>
    <r>
      <rPr>
        <sz val="10"/>
        <rFont val="Arial"/>
        <family val="0"/>
      </rPr>
      <t xml:space="preserve">, 
   са заштитама, </t>
    </r>
    <r>
      <rPr>
        <b/>
        <sz val="10"/>
        <rFont val="Arial"/>
        <family val="2"/>
      </rPr>
      <t>"Schneider Electric"</t>
    </r>
    <r>
      <rPr>
        <sz val="10"/>
        <rFont val="Arial"/>
        <family val="0"/>
      </rPr>
      <t xml:space="preserve">.
-2ком. аутоматских осигирача еквивалентни типу: 
    </t>
    </r>
    <r>
      <rPr>
        <b/>
        <sz val="10"/>
        <rFont val="Arial"/>
        <family val="2"/>
      </rPr>
      <t>"C60N25А"</t>
    </r>
    <r>
      <rPr>
        <sz val="10"/>
        <rFont val="Arial"/>
        <family val="0"/>
      </rPr>
      <t>,</t>
    </r>
    <r>
      <rPr>
        <b/>
        <sz val="10"/>
        <rFont val="Arial"/>
        <family val="2"/>
      </rPr>
      <t xml:space="preserve"> 6кА, 3P,"Schneider Electric"</t>
    </r>
    <r>
      <rPr>
        <sz val="10"/>
        <rFont val="Arial"/>
        <family val="0"/>
      </rPr>
      <t xml:space="preserve">.
 -1ком. аутоматских осигирача еквивалентни типу: 
    </t>
    </r>
    <r>
      <rPr>
        <b/>
        <sz val="10"/>
        <rFont val="Arial"/>
        <family val="2"/>
      </rPr>
      <t>"C60N16А"</t>
    </r>
    <r>
      <rPr>
        <sz val="10"/>
        <rFont val="Arial"/>
        <family val="0"/>
      </rPr>
      <t xml:space="preserve">, </t>
    </r>
    <r>
      <rPr>
        <b/>
        <sz val="10"/>
        <rFont val="Arial"/>
        <family val="2"/>
      </rPr>
      <t>6кА, 3P,"Schneider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t>
    </r>
    <r>
      <rPr>
        <b/>
        <sz val="10"/>
        <rFont val="Arial"/>
        <family val="2"/>
      </rPr>
      <t xml:space="preserve"> 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1</t>
    </r>
    <r>
      <rPr>
        <b/>
        <sz val="10"/>
        <rFont val="Arial"/>
        <family val="2"/>
      </rPr>
      <t xml:space="preserve">.) </t>
    </r>
    <r>
      <rPr>
        <sz val="10"/>
        <rFont val="Arial"/>
        <family val="0"/>
      </rPr>
      <t xml:space="preserve">што износи:      
</t>
    </r>
  </si>
  <si>
    <t>kom.</t>
  </si>
  <si>
    <r>
      <t xml:space="preserve">Испорука и монтажа спратне разводне потабле    </t>
    </r>
    <r>
      <rPr>
        <b/>
        <sz val="10"/>
        <rFont val="Arial"/>
        <family val="2"/>
      </rPr>
      <t>(R.T.</t>
    </r>
    <r>
      <rPr>
        <b/>
        <sz val="8"/>
        <rFont val="Arial"/>
        <family val="2"/>
      </rPr>
      <t>2</t>
    </r>
    <r>
      <rPr>
        <b/>
        <sz val="10"/>
        <rFont val="Arial"/>
        <family val="2"/>
      </rPr>
      <t>.)</t>
    </r>
    <r>
      <rPr>
        <sz val="10"/>
        <rFont val="Arial"/>
        <family val="0"/>
      </rPr>
      <t xml:space="preserve"> који се монтира на предвиђеном месту на</t>
    </r>
    <r>
      <rPr>
        <b/>
        <sz val="10"/>
        <rFont val="Arial"/>
        <family val="2"/>
      </rPr>
      <t xml:space="preserve"> I спрату </t>
    </r>
    <r>
      <rPr>
        <sz val="10"/>
        <rFont val="Arial"/>
        <family val="0"/>
      </rPr>
      <t xml:space="preserve">објекта. Разводна потабла </t>
    </r>
    <r>
      <rPr>
        <b/>
        <sz val="10"/>
        <rFont val="Arial"/>
        <family val="2"/>
      </rPr>
      <t>(R.T</t>
    </r>
    <r>
      <rPr>
        <b/>
        <sz val="8"/>
        <rFont val="Arial"/>
        <family val="2"/>
      </rPr>
      <t>.2</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 xml:space="preserve"> "Schneider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t>
    </r>
    <r>
      <rPr>
        <b/>
        <sz val="10"/>
        <rFont val="Arial"/>
        <family val="2"/>
      </rPr>
      <t xml:space="preserve"> 6кА, 1P,"Schneider Electric"</t>
    </r>
    <r>
      <rPr>
        <sz val="10"/>
        <rFont val="Arial"/>
        <family val="0"/>
      </rPr>
      <t xml:space="preserve">.
 -5ком.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2</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</si>
  <si>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3</t>
    </r>
    <r>
      <rPr>
        <b/>
        <sz val="10"/>
        <rFont val="Arial"/>
        <family val="2"/>
      </rPr>
      <t>.)</t>
    </r>
    <r>
      <rPr>
        <sz val="10"/>
        <rFont val="Arial"/>
        <family val="0"/>
      </rPr>
      <t xml:space="preserve"> који се монтира на предвиђеном месту на </t>
    </r>
    <r>
      <rPr>
        <b/>
        <sz val="10"/>
        <rFont val="Arial"/>
        <family val="2"/>
      </rPr>
      <t>II спрату</t>
    </r>
    <r>
      <rPr>
        <sz val="10"/>
        <rFont val="Arial"/>
        <family val="0"/>
      </rPr>
      <t xml:space="preserve"> објекта. Разводна потабла </t>
    </r>
    <r>
      <rPr>
        <b/>
        <sz val="10"/>
        <rFont val="Arial"/>
        <family val="2"/>
      </rPr>
      <t>(R.T.</t>
    </r>
    <r>
      <rPr>
        <b/>
        <sz val="8"/>
        <rFont val="Arial"/>
        <family val="2"/>
      </rPr>
      <t>3</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-27ком.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3</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</si>
  <si>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4</t>
    </r>
    <r>
      <rPr>
        <b/>
        <sz val="10"/>
        <rFont val="Arial"/>
        <family val="2"/>
      </rPr>
      <t>.)</t>
    </r>
    <r>
      <rPr>
        <sz val="10"/>
        <rFont val="Arial"/>
        <family val="0"/>
      </rPr>
      <t xml:space="preserve"> која се монтира на предвиђеном месту у Таванском простору објекта. Разводна потабла је из производног програма </t>
    </r>
    <r>
      <rPr>
        <b/>
        <sz val="10"/>
        <rFont val="Arial"/>
        <family val="2"/>
      </rPr>
      <t>"Schneider Electric"</t>
    </r>
    <r>
      <rPr>
        <sz val="10"/>
        <rFont val="Arial"/>
        <family val="0"/>
      </rPr>
      <t xml:space="preserve">. Разводна потабла </t>
    </r>
    <r>
      <rPr>
        <b/>
        <sz val="10"/>
        <rFont val="Arial"/>
        <family val="2"/>
      </rPr>
      <t>(R.T.</t>
    </r>
    <r>
      <rPr>
        <b/>
        <sz val="8"/>
        <rFont val="Arial"/>
        <family val="2"/>
      </rPr>
      <t>4</t>
    </r>
    <r>
      <rPr>
        <b/>
        <sz val="10"/>
        <rFont val="Arial"/>
        <family val="2"/>
      </rPr>
      <t xml:space="preserve">.) </t>
    </r>
    <r>
      <rPr>
        <sz val="10"/>
        <rFont val="Arial"/>
        <family val="0"/>
      </rPr>
      <t xml:space="preserve">у себи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-7ком. аутоматских осигирача еквивалентни типу: 
   </t>
    </r>
    <r>
      <rPr>
        <b/>
        <sz val="10"/>
        <rFont val="Arial"/>
        <family val="2"/>
      </rPr>
      <t xml:space="preserve"> "C60N16А"</t>
    </r>
    <r>
      <rPr>
        <sz val="10"/>
        <rFont val="Arial"/>
        <family val="0"/>
      </rPr>
      <t xml:space="preserve">, </t>
    </r>
    <r>
      <rPr>
        <b/>
        <sz val="10"/>
        <rFont val="Arial"/>
        <family val="2"/>
      </rPr>
      <t>6кА, 1P,"Schneider Electric"</t>
    </r>
    <r>
      <rPr>
        <sz val="10"/>
        <rFont val="Arial"/>
        <family val="0"/>
      </rPr>
      <t xml:space="preserve">.
 -2ком.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потабе </t>
    </r>
    <r>
      <rPr>
        <b/>
        <sz val="10"/>
        <rFont val="Arial"/>
        <family val="2"/>
      </rPr>
      <t>(R.Т.</t>
    </r>
    <r>
      <rPr>
        <b/>
        <sz val="8"/>
        <rFont val="Arial"/>
        <family val="2"/>
      </rPr>
      <t>4</t>
    </r>
    <r>
      <rPr>
        <b/>
        <sz val="10"/>
        <rFont val="Arial"/>
        <family val="2"/>
      </rPr>
      <t>.)</t>
    </r>
    <r>
      <rPr>
        <sz val="10"/>
        <rFont val="Arial"/>
        <family val="0"/>
      </rPr>
      <t xml:space="preserve"> што износи:      
</t>
    </r>
  </si>
  <si>
    <r>
      <t xml:space="preserve">Испорука и монтажа главног прикључног ормана </t>
    </r>
    <r>
      <rPr>
        <b/>
        <sz val="10"/>
        <rFont val="Arial"/>
        <family val="2"/>
      </rPr>
      <t>(K.P.K)</t>
    </r>
    <r>
      <rPr>
        <sz val="10"/>
        <rFont val="Arial"/>
        <family val="0"/>
      </rPr>
      <t xml:space="preserve"> на фасадаи објекта. Прикључни </t>
    </r>
    <r>
      <rPr>
        <b/>
        <sz val="10"/>
        <rFont val="Arial"/>
        <family val="2"/>
      </rPr>
      <t>(K.P.K.)</t>
    </r>
    <r>
      <rPr>
        <sz val="10"/>
        <rFont val="Arial"/>
        <family val="0"/>
      </rPr>
      <t xml:space="preserve"> орман  је металне конструкције сличан типу: </t>
    </r>
    <r>
      <rPr>
        <b/>
        <sz val="10"/>
        <rFont val="Arial"/>
        <family val="2"/>
      </rPr>
      <t>"ЕДН-3x100/250А"</t>
    </r>
    <r>
      <rPr>
        <sz val="10"/>
        <rFont val="Arial"/>
        <family val="0"/>
      </rPr>
      <t xml:space="preserve">, који садржи </t>
    </r>
    <r>
      <rPr>
        <b/>
        <sz val="10"/>
        <rFont val="Arial"/>
        <family val="2"/>
      </rPr>
      <t>Cu-шине (50x10)mm</t>
    </r>
    <r>
      <rPr>
        <sz val="10"/>
        <rFont val="Arial"/>
        <family val="0"/>
      </rPr>
      <t xml:space="preserve">. Позиција обухвата постављање и повезивање главног </t>
    </r>
    <r>
      <rPr>
        <b/>
        <sz val="10"/>
        <rFont val="Arial"/>
        <family val="2"/>
      </rPr>
      <t>(K.P.K.)</t>
    </r>
    <r>
      <rPr>
        <sz val="10"/>
        <rFont val="Arial"/>
        <family val="0"/>
      </rPr>
      <t xml:space="preserve"> ормана, што укупно износи:
</t>
    </r>
  </si>
  <si>
    <t xml:space="preserve">      Б.      РАЗВОДНИ ОРМАНИ :</t>
  </si>
  <si>
    <t>Ц.</t>
  </si>
  <si>
    <t>НАПОЈНИ  И  ИНСТАЛАЦИОНИ  КАБЛОВИ</t>
  </si>
  <si>
    <r>
      <t>Испорука, набавка и полагање главног напојног  кабла</t>
    </r>
    <r>
      <rPr>
        <b/>
        <sz val="10"/>
        <rFont val="Arial"/>
        <family val="2"/>
      </rPr>
      <t xml:space="preserve"> PP00-А-4x95mm²,1kV,Al</t>
    </r>
    <r>
      <rPr>
        <sz val="10"/>
        <rFont val="Arial"/>
        <family val="0"/>
      </rPr>
      <t xml:space="preserve">, за напајање </t>
    </r>
    <r>
      <rPr>
        <b/>
        <sz val="10"/>
        <rFont val="Arial"/>
        <family val="2"/>
      </rPr>
      <t>(K.P.K.)</t>
    </r>
    <r>
      <rPr>
        <sz val="10"/>
        <rFont val="Arial"/>
        <family val="0"/>
      </rPr>
      <t xml:space="preserve"> смештеног на фасади објекта, који се поставља испод малтера. Напојни кабли полази из постојеће трафостанице </t>
    </r>
    <r>
      <rPr>
        <b/>
        <sz val="10"/>
        <rFont val="Arial"/>
        <family val="2"/>
      </rPr>
      <t>ТS-10/0.4kV</t>
    </r>
    <r>
      <rPr>
        <sz val="10"/>
        <rFont val="Arial"/>
        <family val="0"/>
      </rPr>
      <t xml:space="preserve"> до </t>
    </r>
    <r>
      <rPr>
        <b/>
        <sz val="10"/>
        <rFont val="Arial"/>
        <family val="2"/>
      </rPr>
      <t>(K.P.K.)</t>
    </r>
    <r>
      <rPr>
        <sz val="10"/>
        <rFont val="Arial"/>
        <family val="0"/>
      </rPr>
      <t xml:space="preserve"> и даље до </t>
    </r>
    <r>
      <rPr>
        <b/>
        <sz val="10"/>
        <rFont val="Arial"/>
        <family val="2"/>
      </rPr>
      <t>(M.R.O.)</t>
    </r>
    <r>
      <rPr>
        <sz val="10"/>
        <rFont val="Arial"/>
        <family val="0"/>
      </rPr>
      <t xml:space="preserve"> ормана смештеног поред улазних врата на фасади објекта. Главни напојни кабли је целом дужином од трафостанице до </t>
    </r>
    <r>
      <rPr>
        <b/>
        <sz val="10"/>
        <rFont val="Arial"/>
        <family val="2"/>
      </rPr>
      <t>(K.P.K.)</t>
    </r>
    <r>
      <rPr>
        <sz val="10"/>
        <rFont val="Arial"/>
        <family val="0"/>
      </rPr>
      <t xml:space="preserve"> ормана постављен у већ припремљен ров </t>
    </r>
    <r>
      <rPr>
        <b/>
        <sz val="10"/>
        <rFont val="Arial"/>
        <family val="2"/>
      </rPr>
      <t>0.8m</t>
    </r>
    <r>
      <rPr>
        <sz val="10"/>
        <rFont val="Arial"/>
        <family val="0"/>
      </rPr>
      <t xml:space="preserve">. Укупна дужина напојног  кабла узета је око  </t>
    </r>
    <r>
      <rPr>
        <b/>
        <sz val="10"/>
        <rFont val="Arial"/>
        <family val="2"/>
      </rPr>
      <t>86m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</si>
  <si>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t>m.</t>
  </si>
  <si>
    <r>
      <t xml:space="preserve">Испорука, набавка и полагање инсталационог  кабла </t>
    </r>
    <r>
      <rPr>
        <b/>
        <sz val="10"/>
        <rFont val="Arial"/>
        <family val="2"/>
      </rPr>
      <t>N2XH-J-5x10mm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1</t>
    </r>
    <r>
      <rPr>
        <b/>
        <sz val="10"/>
        <rFont val="Arial"/>
        <family val="2"/>
      </rPr>
      <t>.</t>
    </r>
    <r>
      <rPr>
        <sz val="10"/>
        <rFont val="Arial"/>
        <family val="0"/>
      </rPr>
      <t xml:space="preserve">)  смештение у </t>
    </r>
    <r>
      <rPr>
        <b/>
        <sz val="10"/>
        <rFont val="Arial"/>
        <family val="2"/>
      </rPr>
      <t>приземљу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5m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</si>
  <si>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2</t>
    </r>
    <r>
      <rPr>
        <b/>
        <sz val="10"/>
        <rFont val="Arial"/>
        <family val="2"/>
      </rPr>
      <t xml:space="preserve">.) </t>
    </r>
    <r>
      <rPr>
        <sz val="10"/>
        <rFont val="Arial"/>
        <family val="0"/>
      </rPr>
      <t xml:space="preserve"> смештене на</t>
    </r>
    <r>
      <rPr>
        <b/>
        <sz val="10"/>
        <rFont val="Arial"/>
        <family val="2"/>
      </rPr>
      <t xml:space="preserve"> I-спрату</t>
    </r>
    <r>
      <rPr>
        <sz val="10"/>
        <rFont val="Arial"/>
        <family val="0"/>
      </rPr>
      <t xml:space="preserve"> објекта, који се поставља испод малтера.  Инсталациони кабли полази из  мерно-разводног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t>
    </r>
    <r>
      <rPr>
        <b/>
        <sz val="10"/>
        <rFont val="Arial"/>
        <family val="2"/>
      </rPr>
      <t xml:space="preserve"> 15m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b/>
        <sz val="10"/>
        <rFont val="Arial"/>
        <family val="2"/>
      </rPr>
      <t xml:space="preserve">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</si>
  <si>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3</t>
    </r>
    <r>
      <rPr>
        <b/>
        <sz val="10"/>
        <rFont val="Arial"/>
        <family val="2"/>
      </rPr>
      <t>.)</t>
    </r>
    <r>
      <rPr>
        <sz val="10"/>
        <rFont val="Arial"/>
        <family val="0"/>
      </rPr>
      <t xml:space="preserve">  смештене на </t>
    </r>
    <r>
      <rPr>
        <b/>
        <sz val="10"/>
        <rFont val="Arial"/>
        <family val="2"/>
      </rPr>
      <t>II-спрату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на  у приземљу објекта. Укупна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</si>
  <si>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(R.T.4.)</t>
    </r>
    <r>
      <rPr>
        <sz val="10"/>
        <rFont val="Arial"/>
        <family val="0"/>
      </rPr>
      <t xml:space="preserve">  смештене у таванском делу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25m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</si>
  <si>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за напајање спољње јединице за климатизацију смештене на спољњој фасади, који се поставља испод малтера. Инсталациони кабли полази из  разводне потабле</t>
    </r>
    <r>
      <rPr>
        <b/>
        <sz val="10"/>
        <rFont val="Arial"/>
        <family val="2"/>
      </rPr>
      <t xml:space="preserve"> (R.T.</t>
    </r>
    <r>
      <rPr>
        <b/>
        <sz val="8"/>
        <rFont val="Arial"/>
        <family val="2"/>
      </rPr>
      <t>1</t>
    </r>
    <r>
      <rPr>
        <b/>
        <sz val="10"/>
        <rFont val="Arial"/>
        <family val="2"/>
      </rPr>
      <t>.)</t>
    </r>
    <r>
      <rPr>
        <sz val="10"/>
        <rFont val="Arial"/>
        <family val="0"/>
      </rPr>
      <t xml:space="preserve"> смештене  у приземљу</t>
    </r>
    <r>
      <rPr>
        <sz val="10"/>
        <rFont val="Arial"/>
        <family val="0"/>
      </rPr>
      <t xml:space="preserve"> објекта. Укупна дужина инсталационог  кабла узета је око </t>
    </r>
    <r>
      <rPr>
        <b/>
        <sz val="10"/>
        <rFont val="Arial"/>
        <family val="2"/>
      </rPr>
      <t>22m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</si>
  <si>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N2XH-J-5x2,5mm²,1kV,Cu</t>
    </r>
    <r>
      <rPr>
        <sz val="10"/>
        <rFont val="Arial"/>
        <family val="0"/>
      </rPr>
      <t xml:space="preserve">, за напајање трофазне прикључнице у објекту,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појединих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спрата и таванском простору објекта. Укупна дужина инсталационог  кабла узета је око</t>
    </r>
    <r>
      <rPr>
        <b/>
        <sz val="10"/>
        <rFont val="Arial"/>
        <family val="2"/>
      </rPr>
      <t xml:space="preserve"> 9m</t>
    </r>
    <r>
      <rPr>
        <sz val="10"/>
        <rFont val="Arial"/>
        <family val="0"/>
      </rPr>
      <t xml:space="preserve">. Позиција обухвата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</si>
  <si>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 xml:space="preserve">N2XH-J-3x2,5mm²,1kV,Cu </t>
    </r>
    <r>
      <rPr>
        <sz val="10"/>
        <rFont val="Arial"/>
        <family val="0"/>
      </rPr>
      <t xml:space="preserve">за напајање монофазних прикључница и прикључака , који се поставља испод малтера и по потреби у </t>
    </r>
    <r>
      <rPr>
        <b/>
        <sz val="10"/>
        <rFont val="Arial"/>
        <family val="2"/>
      </rPr>
      <t>PNK</t>
    </r>
    <r>
      <rPr>
        <sz val="10"/>
        <rFont val="Arial"/>
        <family val="0"/>
      </rPr>
      <t>-кабловским регалима. Инсталациони кабли полази из  појединих  разводних потабли приземља,</t>
    </r>
    <r>
      <rPr>
        <b/>
        <sz val="10"/>
        <rFont val="Arial"/>
        <family val="2"/>
      </rPr>
      <t xml:space="preserve"> I </t>
    </r>
    <r>
      <rPr>
        <sz val="10"/>
        <rFont val="Arial"/>
        <family val="0"/>
      </rPr>
      <t xml:space="preserve">и </t>
    </r>
    <r>
      <rPr>
        <b/>
        <sz val="10"/>
        <rFont val="Arial"/>
        <family val="2"/>
      </rPr>
      <t>II</t>
    </r>
    <r>
      <rPr>
        <sz val="10"/>
        <rFont val="Arial"/>
        <family val="0"/>
      </rPr>
      <t xml:space="preserve"> спрата и таванском простору објекта. Просечна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</si>
  <si>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N2XH-J-3x1,5mm²,1kV,Cu,</t>
    </r>
    <r>
      <rPr>
        <sz val="10"/>
        <rFont val="Arial"/>
        <family val="0"/>
      </rPr>
      <t xml:space="preserve"> за напајање комплетног осветљења у целом објекту,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кабли полази из  појединих разводних ормана и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 xml:space="preserve"> спрата као таванском простору објекта. Просечна дужина инсталационог  кабла узета је око </t>
    </r>
    <r>
      <rPr>
        <b/>
        <sz val="10"/>
        <rFont val="Arial"/>
        <family val="2"/>
      </rPr>
      <t>18m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</si>
  <si>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прикључница којима се напаја </t>
    </r>
    <r>
      <rPr>
        <b/>
        <sz val="10"/>
        <rFont val="Arial"/>
        <family val="2"/>
      </rPr>
      <t>REK</t>
    </r>
    <r>
      <rPr>
        <sz val="10"/>
        <rFont val="Arial"/>
        <family val="0"/>
      </rPr>
      <t xml:space="preserve"> орман, алармна централа, </t>
    </r>
    <r>
      <rPr>
        <b/>
        <sz val="10"/>
        <rFont val="Arial"/>
        <family val="2"/>
      </rPr>
      <t>PPC</t>
    </r>
    <r>
      <rPr>
        <sz val="10"/>
        <rFont val="Arial"/>
        <family val="0"/>
      </rPr>
      <t xml:space="preserve"> централа и централа видео надзора,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каблови полазе из разводних потабли </t>
    </r>
    <r>
      <rPr>
        <b/>
        <sz val="10"/>
        <rFont val="Arial"/>
        <family val="2"/>
      </rPr>
      <t>(R.T.</t>
    </r>
    <r>
      <rPr>
        <b/>
        <sz val="8"/>
        <rFont val="Arial"/>
        <family val="2"/>
      </rPr>
      <t>1</t>
    </r>
    <r>
      <rPr>
        <b/>
        <sz val="10"/>
        <rFont val="Arial"/>
        <family val="2"/>
      </rPr>
      <t>.)</t>
    </r>
    <r>
      <rPr>
        <sz val="10"/>
        <rFont val="Arial"/>
        <family val="0"/>
      </rPr>
      <t xml:space="preserve"> и </t>
    </r>
    <r>
      <rPr>
        <b/>
        <sz val="10"/>
        <rFont val="Arial"/>
        <family val="2"/>
      </rPr>
      <t>(R.T.</t>
    </r>
    <r>
      <rPr>
        <b/>
        <sz val="8"/>
        <rFont val="Arial"/>
        <family val="2"/>
      </rPr>
      <t>3</t>
    </r>
    <r>
      <rPr>
        <b/>
        <sz val="10"/>
        <rFont val="Arial"/>
        <family val="2"/>
      </rPr>
      <t>.)</t>
    </r>
    <r>
      <rPr>
        <sz val="10"/>
        <rFont val="Arial"/>
        <family val="0"/>
      </rPr>
      <t xml:space="preserve"> . Просечна дужина инсталационог  кабла узета је око </t>
    </r>
    <r>
      <rPr>
        <b/>
        <sz val="10"/>
        <rFont val="Arial"/>
        <family val="2"/>
      </rPr>
      <t>12м</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</si>
  <si>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вентилатора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Инсталационии кабли полази из разводних табли у целом објекту. Просечна дужина инсталационог  кабла узета је око </t>
    </r>
    <r>
      <rPr>
        <b/>
        <sz val="10"/>
        <rFont val="Arial"/>
        <family val="2"/>
      </rPr>
      <t>22м</t>
    </r>
    <r>
      <rPr>
        <sz val="10"/>
        <rFont val="Arial"/>
        <family val="0"/>
      </rPr>
      <t xml:space="preserve">. Позиција обухвата комплетну набавку кабла што са постављањем и повезивањем на оба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</si>
  <si>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 1kV, Cu</t>
    </r>
    <r>
      <rPr>
        <sz val="10"/>
        <rFont val="Arial"/>
        <family val="0"/>
      </rPr>
      <t xml:space="preserve">, за напајање  фенкојлера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разводних табли у целом објекту. Просечна дужина инсталационог  кабла узета је око </t>
    </r>
    <r>
      <rPr>
        <b/>
        <sz val="10"/>
        <rFont val="Arial"/>
        <family val="2"/>
      </rPr>
      <t>18м</t>
    </r>
    <r>
      <rPr>
        <sz val="10"/>
        <rFont val="Arial"/>
        <family val="0"/>
      </rPr>
      <t xml:space="preserve">. Позиција обухвата комплетну набавку кабла што са постављањем и повезивањем на оба краја што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</si>
  <si>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постављање </t>
    </r>
    <r>
      <rPr>
        <b/>
        <sz val="10"/>
        <rFont val="Arial"/>
        <family val="2"/>
      </rPr>
      <t>PNK</t>
    </r>
    <r>
      <rPr>
        <sz val="10"/>
        <rFont val="Arial"/>
        <family val="0"/>
      </rPr>
      <t>-регала</t>
    </r>
    <r>
      <rPr>
        <b/>
        <sz val="10"/>
        <rFont val="Arial"/>
        <family val="2"/>
      </rPr>
      <t xml:space="preserve"> (200x50)mm </t>
    </r>
    <r>
      <rPr>
        <sz val="10"/>
        <rFont val="Arial"/>
        <family val="0"/>
      </rPr>
      <t>фиксне дужине</t>
    </r>
    <r>
      <rPr>
        <b/>
        <sz val="10"/>
        <rFont val="Arial"/>
        <family val="2"/>
      </rPr>
      <t xml:space="preserve"> L=3м </t>
    </r>
    <r>
      <rPr>
        <sz val="10"/>
        <rFont val="Arial"/>
        <family val="0"/>
      </rPr>
      <t xml:space="preserve">са комплетном опремом за монтажу. Укупна дужина кабловских регала узета је око </t>
    </r>
    <r>
      <rPr>
        <b/>
        <sz val="10"/>
        <rFont val="Arial"/>
        <family val="2"/>
      </rPr>
      <t>60м</t>
    </r>
    <r>
      <rPr>
        <sz val="10"/>
        <rFont val="Arial"/>
        <family val="0"/>
      </rPr>
      <t xml:space="preserve">. Позиција обухвата комплетну набавку </t>
    </r>
    <r>
      <rPr>
        <b/>
        <sz val="10"/>
        <rFont val="Arial"/>
        <family val="2"/>
      </rPr>
      <t>PNK</t>
    </r>
    <r>
      <rPr>
        <sz val="10"/>
        <rFont val="Arial"/>
        <family val="0"/>
      </rPr>
      <t xml:space="preserve">-кабловских регала што са постављањем  износи:   
</t>
    </r>
    <r>
      <rPr>
        <u val="single"/>
        <sz val="10"/>
        <rFont val="Arial"/>
        <family val="2"/>
      </rPr>
      <t>Напомена:</t>
    </r>
    <r>
      <rPr>
        <sz val="10"/>
        <rFont val="Arial"/>
        <family val="0"/>
      </rPr>
      <t xml:space="preserve"> Тачну дужину </t>
    </r>
    <r>
      <rPr>
        <b/>
        <sz val="10"/>
        <rFont val="Arial"/>
        <family val="2"/>
      </rPr>
      <t>PNK</t>
    </r>
    <r>
      <rPr>
        <sz val="10"/>
        <rFont val="Arial"/>
        <family val="0"/>
      </rPr>
      <t>-регала одредити на лицу места приликом извођења радова у присуству надзорног органа.</t>
    </r>
  </si>
  <si>
    <r>
      <t xml:space="preserve">Испорука и премазивање свих продора каблова из једне у другу противпожарну зону ватроотпорним премазом </t>
    </r>
    <r>
      <rPr>
        <b/>
        <sz val="10"/>
        <rFont val="Arial"/>
        <family val="2"/>
      </rPr>
      <t>Е90</t>
    </r>
    <r>
      <rPr>
        <sz val="10"/>
        <rFont val="Arial"/>
        <family val="0"/>
      </rPr>
      <t xml:space="preserve">. Позиција обухвата набавку и премазивање ватроотпорног материјала што укупно паушално износи:   
</t>
    </r>
  </si>
  <si>
    <t xml:space="preserve"> Ц.   НАПОЈНИ  И  ИНСТАЛАЦИОНИ  КАБЛОВИ  УКУПНО :  </t>
  </si>
  <si>
    <t>Д.</t>
  </si>
  <si>
    <t>ПРИКЉУЧНИЦЕ  И  ПРЕКИДАЧИ</t>
  </si>
  <si>
    <r>
      <t>Испорука и монтажа монофазне прикључнице беле боје за монтажу у зиду еквивалентне типу: "</t>
    </r>
    <r>
      <rPr>
        <b/>
        <sz val="10"/>
        <rFont val="Arial"/>
        <family val="2"/>
      </rPr>
      <t>MOSAIC"-Legrand</t>
    </r>
    <r>
      <rPr>
        <sz val="10"/>
        <rFont val="Arial"/>
        <family val="0"/>
      </rPr>
      <t>, постављених према позицијама датим у прилогу графичке документације, које се састоје из следећих елемената:
 - 1ком. дозна за малтер</t>
    </r>
    <r>
      <rPr>
        <b/>
        <sz val="10"/>
        <rFont val="Arial"/>
        <family val="2"/>
      </rPr>
      <t xml:space="preserve"> 2М,</t>
    </r>
    <r>
      <rPr>
        <sz val="10"/>
        <rFont val="Arial"/>
        <family val="0"/>
      </rPr>
      <t xml:space="preserve"> кат бр.</t>
    </r>
    <r>
      <rPr>
        <b/>
        <sz val="10"/>
        <rFont val="Arial"/>
        <family val="2"/>
      </rPr>
      <t>801 41</t>
    </r>
    <r>
      <rPr>
        <sz val="10"/>
        <rFont val="Arial"/>
        <family val="0"/>
      </rPr>
      <t xml:space="preserve">,
 - 1ком. носач </t>
    </r>
    <r>
      <rPr>
        <b/>
        <sz val="10"/>
        <rFont val="Arial"/>
        <family val="2"/>
      </rPr>
      <t>2М, кат.бр. 802 51</t>
    </r>
    <r>
      <rPr>
        <sz val="10"/>
        <rFont val="Arial"/>
        <family val="0"/>
      </rPr>
      <t>,
 - 1ком.утичница</t>
    </r>
    <r>
      <rPr>
        <b/>
        <sz val="10"/>
        <rFont val="Arial"/>
        <family val="2"/>
      </rPr>
      <t xml:space="preserve"> 2П+Е, 16А, 2М</t>
    </r>
    <r>
      <rPr>
        <sz val="10"/>
        <rFont val="Arial"/>
        <family val="0"/>
      </rPr>
      <t>, кат.бр.</t>
    </r>
    <r>
      <rPr>
        <b/>
        <sz val="10"/>
        <rFont val="Arial"/>
        <family val="2"/>
      </rPr>
      <t>772 10</t>
    </r>
    <r>
      <rPr>
        <sz val="10"/>
        <rFont val="Arial"/>
        <family val="0"/>
      </rPr>
      <t>,
 - 1ком. оквир</t>
    </r>
    <r>
      <rPr>
        <b/>
        <sz val="10"/>
        <rFont val="Arial"/>
        <family val="2"/>
      </rPr>
      <t xml:space="preserve"> 2М, кат бр. 788 02</t>
    </r>
    <r>
      <rPr>
        <sz val="10"/>
        <rFont val="Arial"/>
        <family val="0"/>
      </rPr>
      <t xml:space="preserve">,
Позиција обухвата комплетну набавку и испоруку са постављањем што укупно износи:    
</t>
    </r>
  </si>
  <si>
    <r>
      <t>Испорука и монтажа двоструких монофазних обичних прикључница беле боје  за у у зиду еквив. типу:</t>
    </r>
    <r>
      <rPr>
        <b/>
        <sz val="10"/>
        <rFont val="Arial"/>
        <family val="2"/>
      </rPr>
      <t xml:space="preserve">"MOSAIC"-Legrand, </t>
    </r>
    <r>
      <rPr>
        <sz val="10"/>
        <rFont val="Arial"/>
        <family val="0"/>
      </rPr>
      <t xml:space="preserve">постављених према позицијама датим у прилогу графичке документације, које се састоје из следећих елемената:
 - 1ком. дозна за малтер </t>
    </r>
    <r>
      <rPr>
        <b/>
        <sz val="10"/>
        <rFont val="Arial"/>
        <family val="2"/>
      </rPr>
      <t>4М, кат бр.801 49,</t>
    </r>
    <r>
      <rPr>
        <sz val="10"/>
        <rFont val="Arial"/>
        <family val="0"/>
      </rPr>
      <t xml:space="preserve">
 - 1ком. носач</t>
    </r>
    <r>
      <rPr>
        <b/>
        <sz val="10"/>
        <rFont val="Arial"/>
        <family val="2"/>
      </rPr>
      <t xml:space="preserve"> 4М, кат.бр. 802 14,</t>
    </r>
    <r>
      <rPr>
        <sz val="10"/>
        <rFont val="Arial"/>
        <family val="0"/>
      </rPr>
      <t xml:space="preserve">
 - 2ком.утичница </t>
    </r>
    <r>
      <rPr>
        <b/>
        <sz val="10"/>
        <rFont val="Arial"/>
        <family val="2"/>
      </rPr>
      <t>2П+Е, 16А, 2М, кат.бр.772 10,</t>
    </r>
    <r>
      <rPr>
        <sz val="10"/>
        <rFont val="Arial"/>
        <family val="0"/>
      </rPr>
      <t xml:space="preserve">
 - 1ком. оквир</t>
    </r>
    <r>
      <rPr>
        <b/>
        <sz val="10"/>
        <rFont val="Arial"/>
        <family val="2"/>
      </rPr>
      <t xml:space="preserve"> 4М, кат бр. 788 14,</t>
    </r>
    <r>
      <rPr>
        <sz val="10"/>
        <rFont val="Arial"/>
        <family val="0"/>
      </rPr>
      <t xml:space="preserve">
Позиција обухвата комплетну набавку и испоруку са постављањем што укупно износи:    
</t>
    </r>
  </si>
  <si>
    <r>
      <t xml:space="preserve">Испорука и монтажа монофазних прикључница беле боје са заштитним поклопцем </t>
    </r>
    <r>
      <rPr>
        <b/>
        <sz val="10"/>
        <color indexed="8"/>
        <rFont val="Arial"/>
        <family val="2"/>
      </rPr>
      <t xml:space="preserve">"ОG" </t>
    </r>
    <r>
      <rPr>
        <sz val="10"/>
        <color indexed="8"/>
        <rFont val="Arial"/>
        <family val="2"/>
      </rPr>
      <t xml:space="preserve"> еквивалентне типу: </t>
    </r>
    <r>
      <rPr>
        <b/>
        <sz val="10"/>
        <color indexed="8"/>
        <rFont val="Arial"/>
        <family val="2"/>
      </rPr>
      <t>"МОSAIC"-Legrand</t>
    </r>
    <r>
      <rPr>
        <sz val="10"/>
        <color indexed="8"/>
        <rFont val="Arial"/>
        <family val="2"/>
      </rPr>
      <t xml:space="preserve">, постављених према позицијама датим у прилогу графичке документације. 
Позиција обухвата комплетну набавку и испоруку са постављањем што укупно износи:    
</t>
    </r>
  </si>
  <si>
    <r>
      <t>Испорука и монтажа трофазне обичне прикључнице из производног програма "</t>
    </r>
    <r>
      <rPr>
        <b/>
        <sz val="10"/>
        <rFont val="Arial"/>
        <family val="2"/>
      </rPr>
      <t>MOSAIC" - Lagrand,</t>
    </r>
    <r>
      <rPr>
        <sz val="10"/>
        <rFont val="Arial"/>
        <family val="0"/>
      </rPr>
      <t xml:space="preserve"> која се поставља према позицији датој у графичкој документацији, шту укупно са повезивањем и постављањем износи:  
</t>
    </r>
  </si>
  <si>
    <r>
      <t>Испорука и монтажа једнополних инсталационих прекидача, беле боје за монтажу у зиду, еквивалент. типу</t>
    </r>
    <r>
      <rPr>
        <b/>
        <sz val="10"/>
        <rFont val="Arial"/>
        <family val="2"/>
      </rPr>
      <t>: "MOSAIC"-Legrand</t>
    </r>
    <r>
      <rPr>
        <sz val="10"/>
        <rFont val="Arial"/>
        <family val="0"/>
      </rPr>
      <t xml:space="preserve">, постављених према позицијама датим у графичкој документацији,и састоје из следећих елемената:
 - 1ком. дозна за малтер </t>
    </r>
    <r>
      <rPr>
        <b/>
        <sz val="10"/>
        <rFont val="Arial"/>
        <family val="2"/>
      </rPr>
      <t>2М</t>
    </r>
    <r>
      <rPr>
        <sz val="10"/>
        <rFont val="Arial"/>
        <family val="0"/>
      </rPr>
      <t>, кат бр.</t>
    </r>
    <r>
      <rPr>
        <b/>
        <sz val="10"/>
        <rFont val="Arial"/>
        <family val="2"/>
      </rPr>
      <t>801 4</t>
    </r>
    <r>
      <rPr>
        <sz val="10"/>
        <rFont val="Arial"/>
        <family val="0"/>
      </rPr>
      <t xml:space="preserve">1,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- 1ком.прекидач </t>
    </r>
    <r>
      <rPr>
        <b/>
        <sz val="10"/>
        <rFont val="Arial"/>
        <family val="2"/>
      </rPr>
      <t>10А, 250В, 1М</t>
    </r>
    <r>
      <rPr>
        <sz val="10"/>
        <rFont val="Arial"/>
        <family val="0"/>
      </rPr>
      <t>, кат.бр.</t>
    </r>
    <r>
      <rPr>
        <b/>
        <sz val="10"/>
        <rFont val="Arial"/>
        <family val="2"/>
      </rPr>
      <t>770 00</t>
    </r>
    <r>
      <rPr>
        <sz val="10"/>
        <rFont val="Arial"/>
        <family val="0"/>
      </rPr>
      <t xml:space="preserve">,
 - 1ком. оквир </t>
    </r>
    <r>
      <rPr>
        <b/>
        <sz val="10"/>
        <rFont val="Arial"/>
        <family val="2"/>
      </rPr>
      <t>2М,</t>
    </r>
    <r>
      <rPr>
        <sz val="10"/>
        <rFont val="Arial"/>
        <family val="0"/>
      </rPr>
      <t xml:space="preserve"> кат бр.</t>
    </r>
    <r>
      <rPr>
        <b/>
        <sz val="10"/>
        <rFont val="Arial"/>
        <family val="2"/>
      </rPr>
      <t xml:space="preserve"> 788 11</t>
    </r>
    <r>
      <rPr>
        <sz val="10"/>
        <rFont val="Arial"/>
        <family val="0"/>
      </rPr>
      <t xml:space="preserve">,
Позиција обухвата комплетну набавку са постављањем што укупно износи:    
</t>
    </r>
  </si>
  <si>
    <r>
      <t xml:space="preserve">Испорука и монтажа сериских инсталационих  прекидача беле боје, за у зид, еквивалентних типу: </t>
    </r>
    <r>
      <rPr>
        <b/>
        <sz val="10"/>
        <rFont val="Arial"/>
        <family val="2"/>
      </rPr>
      <t>"MOSAIC"-Legrand</t>
    </r>
    <r>
      <rPr>
        <sz val="10"/>
        <rFont val="Arial"/>
        <family val="0"/>
      </rPr>
      <t xml:space="preserve">, постављених према позицијама датим уграфичкој документацији, које се састоје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- 1ком. носач</t>
    </r>
    <r>
      <rPr>
        <b/>
        <sz val="10"/>
        <rFont val="Arial"/>
        <family val="2"/>
      </rPr>
      <t xml:space="preserve"> 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770 10</t>
    </r>
    <r>
      <rPr>
        <sz val="10"/>
        <rFont val="Arial"/>
        <family val="0"/>
      </rPr>
      <t>,
 - 1ком. оквир</t>
    </r>
    <r>
      <rPr>
        <b/>
        <sz val="10"/>
        <rFont val="Arial"/>
        <family val="2"/>
      </rPr>
      <t xml:space="preserve"> 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сериских прекидача са постављањем и повезивањем, што укупно износи:    
</t>
    </r>
  </si>
  <si>
    <r>
      <t xml:space="preserve">Испорука и монтажа наизменичних прекидача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документацији, и састоје се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xml:space="preserve">,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792 01</t>
    </r>
    <r>
      <rPr>
        <sz val="10"/>
        <rFont val="Arial"/>
        <family val="0"/>
      </rPr>
      <t xml:space="preserve">,
 - 1ком. оквир </t>
    </r>
    <r>
      <rPr>
        <b/>
        <sz val="10"/>
        <rFont val="Arial"/>
        <family val="2"/>
      </rPr>
      <t>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са постављањем и повезивањем, што укупно износи:    
</t>
    </r>
  </si>
  <si>
    <r>
      <t xml:space="preserve">Испорука и монтажа ходничких тастера за светло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 Позиција обухвата комплетну набавку и испоруку са постављањем и повезивањем, што износи:    
</t>
    </r>
  </si>
  <si>
    <r>
      <t>Испорука и монтажа</t>
    </r>
    <r>
      <rPr>
        <b/>
        <sz val="10"/>
        <rFont val="Arial"/>
        <family val="2"/>
      </rPr>
      <t xml:space="preserve"> "KIP"</t>
    </r>
    <r>
      <rPr>
        <sz val="10"/>
        <rFont val="Arial"/>
        <family val="0"/>
      </rPr>
      <t xml:space="preserve">- прекидача </t>
    </r>
    <r>
      <rPr>
        <b/>
        <sz val="10"/>
        <rFont val="Arial"/>
        <family val="2"/>
      </rPr>
      <t>16А</t>
    </r>
    <r>
      <rPr>
        <sz val="10"/>
        <rFont val="Arial"/>
        <family val="0"/>
      </rPr>
      <t>, беле боје за монтажу у зиду сличан типу:</t>
    </r>
    <r>
      <rPr>
        <b/>
        <sz val="10"/>
        <rFont val="Arial"/>
        <family val="2"/>
      </rPr>
      <t xml:space="preserve"> "MOSAIC"-Legrand</t>
    </r>
    <r>
      <rPr>
        <sz val="10"/>
        <rFont val="Arial"/>
        <family val="0"/>
      </rPr>
      <t xml:space="preserve">, за потребе малог  бојлера у  објекту. Позиција обухвата комплетну набавку са постављањем што укупно износи:    
</t>
    </r>
  </si>
  <si>
    <r>
      <t xml:space="preserve">Набавка материјала, израда, испорука и монтажа испод радних столова подне кутије </t>
    </r>
    <r>
      <rPr>
        <b/>
        <sz val="10"/>
        <rFont val="Arial"/>
        <family val="2"/>
      </rPr>
      <t>(PK12</t>
    </r>
    <r>
      <rPr>
        <sz val="10"/>
        <rFont val="Arial"/>
        <family val="0"/>
      </rPr>
      <t xml:space="preserve"> са подесивом висином од </t>
    </r>
    <r>
      <rPr>
        <b/>
        <sz val="10"/>
        <rFont val="Arial"/>
        <family val="2"/>
      </rPr>
      <t>75</t>
    </r>
    <r>
      <rPr>
        <sz val="10"/>
        <rFont val="Arial"/>
        <family val="0"/>
      </rPr>
      <t xml:space="preserve"> до </t>
    </r>
    <r>
      <rPr>
        <b/>
        <sz val="10"/>
        <rFont val="Arial"/>
        <family val="2"/>
      </rPr>
      <t>105мм</t>
    </r>
    <r>
      <rPr>
        <sz val="10"/>
        <rFont val="Arial"/>
        <family val="0"/>
      </rPr>
      <t xml:space="preserve"> са </t>
    </r>
    <r>
      <rPr>
        <b/>
        <sz val="10"/>
        <rFont val="Arial"/>
        <family val="2"/>
      </rPr>
      <t>12-модула</t>
    </r>
    <r>
      <rPr>
        <sz val="10"/>
        <rFont val="Arial"/>
        <family val="0"/>
      </rPr>
      <t xml:space="preserve"> и иноx поклопцем сиве боје</t>
    </r>
    <r>
      <rPr>
        <b/>
        <sz val="10"/>
        <rFont val="Arial"/>
        <family val="2"/>
      </rPr>
      <t xml:space="preserve"> RAL 7019</t>
    </r>
    <r>
      <rPr>
        <sz val="10"/>
        <rFont val="Arial"/>
        <family val="0"/>
      </rPr>
      <t xml:space="preserve"> из производног програма  </t>
    </r>
    <r>
      <rPr>
        <b/>
        <sz val="10"/>
        <rFont val="Arial"/>
        <family val="2"/>
      </rPr>
      <t>Legrand кат бр. 0896 15</t>
    </r>
    <r>
      <rPr>
        <sz val="10"/>
        <rFont val="Arial"/>
        <family val="0"/>
      </rPr>
      <t xml:space="preserve"> или еквивален. опремљена следећом опремом:
-1ком. пластична уградна кутија, која омогућава
   постављање у подном бетону или сличних подова,
   опремљена уводницама за флесибилна црева 
   </t>
    </r>
    <r>
      <rPr>
        <b/>
        <sz val="10"/>
        <rFont val="Arial"/>
        <family val="2"/>
      </rPr>
      <t>Ø16,20 и 25мм</t>
    </r>
    <r>
      <rPr>
        <sz val="10"/>
        <rFont val="Arial"/>
        <family val="0"/>
      </rPr>
      <t>. подна кутија се испоручује са 
   подесивом висином за 1</t>
    </r>
    <r>
      <rPr>
        <b/>
        <sz val="10"/>
        <rFont val="Arial"/>
        <family val="2"/>
      </rPr>
      <t>2-модула кат бр.0896 32</t>
    </r>
    <r>
      <rPr>
        <sz val="10"/>
        <rFont val="Arial"/>
        <family val="0"/>
      </rPr>
      <t xml:space="preserve">,
-4ком.енергетска утичница </t>
    </r>
    <r>
      <rPr>
        <b/>
        <sz val="10"/>
        <rFont val="Arial"/>
        <family val="2"/>
      </rPr>
      <t>16А, 2P+Е</t>
    </r>
    <r>
      <rPr>
        <sz val="10"/>
        <rFont val="Arial"/>
        <family val="0"/>
      </rPr>
      <t xml:space="preserve"> без заштите 
   од случајног додира, конекција на завртањ беле 
   боје,</t>
    </r>
    <r>
      <rPr>
        <b/>
        <sz val="10"/>
        <rFont val="Arial"/>
        <family val="2"/>
      </rPr>
      <t xml:space="preserve"> "MOSAIC"-Legrand, кат бр. 0772 10</t>
    </r>
    <r>
      <rPr>
        <sz val="10"/>
        <rFont val="Arial"/>
        <family val="0"/>
      </rPr>
      <t>,
-2ком.дупле утичница</t>
    </r>
    <r>
      <rPr>
        <b/>
        <sz val="10"/>
        <rFont val="Arial"/>
        <family val="2"/>
      </rPr>
      <t xml:space="preserve"> RJ45</t>
    </r>
    <r>
      <rPr>
        <sz val="10"/>
        <rFont val="Arial"/>
        <family val="0"/>
      </rPr>
      <t xml:space="preserve">, конекција на завртањ 
   беле боје, </t>
    </r>
    <r>
      <rPr>
        <b/>
        <sz val="10"/>
        <rFont val="Arial"/>
        <family val="2"/>
      </rPr>
      <t xml:space="preserve">"MOSAIC"-Legrand, </t>
    </r>
    <r>
      <rPr>
        <sz val="10"/>
        <rFont val="Arial"/>
        <family val="0"/>
      </rPr>
      <t xml:space="preserve">
--3ком. слепа маска  величине 1-модула беле боје
 </t>
    </r>
    <r>
      <rPr>
        <b/>
        <sz val="10"/>
        <rFont val="Arial"/>
        <family val="2"/>
      </rPr>
      <t xml:space="preserve"> "MOSAIC"-Legrand, кат. бр. 0770 70</t>
    </r>
    <r>
      <rPr>
        <sz val="10"/>
        <rFont val="Arial"/>
        <family val="0"/>
      </rPr>
      <t xml:space="preserve">.      
Остали ситан и потребан електроматеријал узети по 
потреби. Све комплет са уградњом и монтажом
укупно износи:   
</t>
    </r>
  </si>
  <si>
    <t xml:space="preserve">      Д.       ПРИКЉУЧНИЦА  И  ПРЕКИДАЧИ  УКУПНО:</t>
  </si>
  <si>
    <t xml:space="preserve"> E.</t>
  </si>
  <si>
    <t>ОСВЕТЉЕЊЕ</t>
  </si>
  <si>
    <r>
      <t>Испорука и монтажа уградних  флуоросцентних светиљки</t>
    </r>
    <r>
      <rPr>
        <b/>
        <sz val="10"/>
        <rFont val="Arial"/>
        <family val="2"/>
      </rPr>
      <t xml:space="preserve"> (S1)</t>
    </r>
    <r>
      <rPr>
        <sz val="10"/>
        <rFont val="Arial"/>
        <family val="0"/>
      </rPr>
      <t xml:space="preserve"> еквивалентних типу: </t>
    </r>
    <r>
      <rPr>
        <b/>
        <sz val="10"/>
        <rFont val="Arial"/>
        <family val="2"/>
      </rPr>
      <t xml:space="preserve">"BFU-ARCO-4x18W/PS", IP20, </t>
    </r>
    <r>
      <rPr>
        <sz val="10"/>
        <rFont val="Arial"/>
        <family val="0"/>
      </rPr>
      <t>производње:</t>
    </r>
    <r>
      <rPr>
        <b/>
        <sz val="10"/>
        <rFont val="Arial"/>
        <family val="2"/>
      </rPr>
      <t xml:space="preserve"> "Buck"</t>
    </r>
    <r>
      <rPr>
        <sz val="10"/>
        <rFont val="Arial"/>
        <family val="0"/>
      </rPr>
      <t xml:space="preserve">-Београд.  Светиљке се постављају у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</si>
  <si>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t>kom</t>
  </si>
  <si>
    <r>
      <t>Испорука и монтажа надградних флуоресцентних светиљки (</t>
    </r>
    <r>
      <rPr>
        <b/>
        <sz val="10"/>
        <rFont val="Arial"/>
        <family val="2"/>
      </rPr>
      <t>S2</t>
    </r>
    <r>
      <rPr>
        <sz val="10"/>
        <rFont val="Arial"/>
        <family val="0"/>
      </rPr>
      <t xml:space="preserve">) еквивалентних типу: </t>
    </r>
    <r>
      <rPr>
        <b/>
        <sz val="10"/>
        <rFont val="Arial"/>
        <family val="2"/>
      </rPr>
      <t xml:space="preserve">"BFN-ORIEN-4x18W/PS", IP20,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</si>
  <si>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Испорука и монтажа надградних светиљки</t>
    </r>
    <r>
      <rPr>
        <b/>
        <sz val="10"/>
        <rFont val="Arial"/>
        <family val="2"/>
      </rPr>
      <t xml:space="preserve"> (S3)</t>
    </r>
    <r>
      <rPr>
        <sz val="10"/>
        <rFont val="Arial"/>
        <family val="0"/>
      </rPr>
      <t xml:space="preserve"> еквивалентних типу : </t>
    </r>
    <r>
      <rPr>
        <b/>
        <sz val="10"/>
        <rFont val="Arial"/>
        <family val="2"/>
      </rPr>
      <t xml:space="preserve">"BCN-NEOS-2x18W/MS", IP44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тоалетима и степенишном простору,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</si>
  <si>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 xml:space="preserve">(S4) </t>
    </r>
    <r>
      <rPr>
        <sz val="10"/>
        <rFont val="Arial"/>
        <family val="0"/>
      </rPr>
      <t xml:space="preserve">еквивалентних типу : </t>
    </r>
    <r>
      <rPr>
        <b/>
        <sz val="10"/>
        <rFont val="Arial"/>
        <family val="2"/>
      </rPr>
      <t xml:space="preserve">"BCU-ADRIA-2x15W/MS", IP40 </t>
    </r>
    <r>
      <rPr>
        <sz val="10"/>
        <rFont val="Arial"/>
        <family val="0"/>
      </rPr>
      <t>производње:</t>
    </r>
    <r>
      <rPr>
        <b/>
        <sz val="10"/>
        <rFont val="Arial"/>
        <family val="2"/>
      </rPr>
      <t xml:space="preserve"> "Buck"</t>
    </r>
    <r>
      <rPr>
        <sz val="10"/>
        <rFont val="Arial"/>
        <family val="0"/>
      </rPr>
      <t xml:space="preserve">-Београд.  Светиљке се постављају у спуштени плафон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</si>
  <si>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светиљки </t>
    </r>
    <r>
      <rPr>
        <b/>
        <sz val="10"/>
        <rFont val="Arial"/>
        <family val="2"/>
      </rPr>
      <t>(S5)</t>
    </r>
    <r>
      <rPr>
        <sz val="10"/>
        <rFont val="Arial"/>
        <family val="0"/>
      </rPr>
      <t xml:space="preserve"> еквивалентних типу:</t>
    </r>
    <r>
      <rPr>
        <b/>
        <sz val="10"/>
        <rFont val="Arial"/>
        <family val="2"/>
      </rPr>
      <t xml:space="preserve">"TITAN 2x36", IP65 </t>
    </r>
    <r>
      <rPr>
        <sz val="10"/>
        <rFont val="Arial"/>
        <family val="0"/>
      </rPr>
      <t>производње:</t>
    </r>
    <r>
      <rPr>
        <b/>
        <sz val="10"/>
        <rFont val="Arial"/>
        <family val="2"/>
      </rPr>
      <t xml:space="preserve"> "Buck"</t>
    </r>
    <r>
      <rPr>
        <sz val="10"/>
        <rFont val="Arial"/>
        <family val="0"/>
      </rPr>
      <t xml:space="preserve">-Београд.  Светиљке се постављају на плафону у подстаници,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</si>
  <si>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рефлекторских  светиљки </t>
    </r>
    <r>
      <rPr>
        <b/>
        <sz val="10"/>
        <rFont val="Arial"/>
        <family val="2"/>
      </rPr>
      <t>(S6)</t>
    </r>
    <r>
      <rPr>
        <sz val="10"/>
        <rFont val="Arial"/>
        <family val="0"/>
      </rPr>
      <t xml:space="preserve"> еквивалентних типу:</t>
    </r>
    <r>
      <rPr>
        <b/>
        <sz val="10"/>
        <rFont val="Arial"/>
        <family val="2"/>
      </rPr>
      <t xml:space="preserve"> "BRF-1131 Punto 70W", IP65, </t>
    </r>
    <r>
      <rPr>
        <sz val="10"/>
        <rFont val="Arial"/>
        <family val="0"/>
      </rPr>
      <t xml:space="preserve">производње: </t>
    </r>
    <r>
      <rPr>
        <b/>
        <sz val="10"/>
        <rFont val="Arial"/>
        <family val="2"/>
      </rPr>
      <t>"Buck"</t>
    </r>
    <r>
      <rPr>
        <sz val="10"/>
        <rFont val="Arial"/>
        <family val="0"/>
      </rPr>
      <t xml:space="preserve">-Београд, које се постављају изнад улазних врата,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</si>
  <si>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(S7)</t>
    </r>
    <r>
      <rPr>
        <sz val="10"/>
        <rFont val="Arial"/>
        <family val="0"/>
      </rPr>
      <t xml:space="preserve"> еквивалентних типу :</t>
    </r>
    <r>
      <rPr>
        <b/>
        <sz val="10"/>
        <rFont val="Arial"/>
        <family val="2"/>
      </rPr>
      <t xml:space="preserve"> "BCU-HORUS-2x18/MS", IP20  </t>
    </r>
    <r>
      <rPr>
        <sz val="10"/>
        <rFont val="Arial"/>
        <family val="0"/>
      </rPr>
      <t>производње:</t>
    </r>
    <r>
      <rPr>
        <b/>
        <sz val="10"/>
        <rFont val="Arial"/>
        <family val="2"/>
      </rPr>
      <t>"Buck"</t>
    </r>
    <r>
      <rPr>
        <sz val="10"/>
        <rFont val="Arial"/>
        <family val="0"/>
      </rPr>
      <t xml:space="preserve">-Београд.  Светиљке се постављају у спуштени плафон таванског простора објекта, према распореду датом у прилогу графичке документацији.  Плаћа се комплет материјал и радна снага  што  износи:  </t>
    </r>
  </si>
  <si>
    <r>
      <t>Испорука и монтажа</t>
    </r>
    <r>
      <rPr>
        <b/>
        <sz val="10"/>
        <rFont val="Arial"/>
        <family val="2"/>
      </rPr>
      <t xml:space="preserve"> LED</t>
    </r>
    <r>
      <rPr>
        <sz val="10"/>
        <rFont val="Arial"/>
        <family val="0"/>
      </rPr>
      <t xml:space="preserve"> против паничних светиљки еквивалентних типу: </t>
    </r>
    <r>
      <rPr>
        <b/>
        <sz val="10"/>
        <rFont val="Arial"/>
        <family val="2"/>
      </rPr>
      <t>"AESTETICA LED 8W/IP40"-"Buck"</t>
    </r>
    <r>
      <rPr>
        <sz val="10"/>
        <rFont val="Arial"/>
        <family val="0"/>
      </rPr>
      <t xml:space="preserve"> -Београд, са стрелицом .Паник светиљке имају аку-батерију у себи, која је стално под напоном тако да у случају нестанка струје исте могу радити најмање 3-сата у безнапонском стању. Светиљке се постављају на плафону или на зиду у целом објекту, према распореду датом у прилогу графичке документацији.  Плаћа се комплет материјал и радна снага  што  износи:   </t>
    </r>
  </si>
  <si>
    <t xml:space="preserve">     Е.     ОСВЕТЉЕЊЕ   УКУПНО:</t>
  </si>
  <si>
    <t>Ф.</t>
  </si>
  <si>
    <t>ГРОМОБРАНСКА ИНСТАЛАЦИЈА</t>
  </si>
  <si>
    <t xml:space="preserve">Набавка, испорука и постављање комплетне громобранске инсталације објекта са свим потребним елементима (прхватни водови, хватаљке, спустни водови, мерни спојеви, држачи поцинковане траке, темељни уземљивач и др.). Позиција обухвата постављање прихватно спустних водова на крову и фасади објекта као и повезивање истих на темељни уземљивач према позицијама датим у прилогу графичке документације, што укупно износи:  </t>
  </si>
  <si>
    <t xml:space="preserve">      Ф.    ГРОМОБРАНСКА ИНСТАЛАЦИЈА   УКУПНО:</t>
  </si>
  <si>
    <t>Г.</t>
  </si>
  <si>
    <t>АТЕСТНА  ДОКУМЕНТАЦИЈА</t>
  </si>
  <si>
    <t xml:space="preserve">Завршетак комплетних електричних инсталација објекта, прибављање одговарајућих атеста за комплетну уграђену опрему,. Мерење инсталације и уземљења од стране одговарајућег института и прибављање елабората мерења, као и пуштање изведених електричних инсталација у рад  паушално укупно износи: </t>
  </si>
  <si>
    <t xml:space="preserve">       Г.     АТЕСТНА  ДОКУМЕНТАЦИЈА  УКУПНО:</t>
  </si>
  <si>
    <t>Р Е К А П И Т У Л А Ц И Ј А</t>
  </si>
  <si>
    <t>ЕЛЕКТРОИНСТАЛАТЕРСКИХ РАДОВА:</t>
  </si>
  <si>
    <t>А</t>
  </si>
  <si>
    <t>Б</t>
  </si>
  <si>
    <t xml:space="preserve">РАЗВОДНИ  ОРМАНИ </t>
  </si>
  <si>
    <t>Ф</t>
  </si>
  <si>
    <t>Г</t>
  </si>
  <si>
    <t>УКУПНО ЕЛЕКТРИЧНЕ ИНСТАЛАЦИЈЕ:</t>
  </si>
  <si>
    <t>уз  пројекат  ТЕЛЕКОМУНИКАЦИОНИХ ИНСТАЛАЦИЈА објекта " Прекршајни суд у Пожаревцу"  спратности П+2</t>
  </si>
  <si>
    <t>ПРИКЛЈУЧАК НА ЈАВНУ ТК МРЕЖУ</t>
  </si>
  <si>
    <t>Позиције обухватају набавку, испоруку и монтажу инсталационог материјала и опреме.</t>
  </si>
  <si>
    <t>РАДОВИ</t>
  </si>
  <si>
    <t>1.1</t>
  </si>
  <si>
    <t>Трасирање</t>
  </si>
  <si>
    <t>1.2</t>
  </si>
  <si>
    <t>ископ рова димензија 0,4x0,8м у земљи до ИИИ категорије по новој траси</t>
  </si>
  <si>
    <t>1.3</t>
  </si>
  <si>
    <t>Затрпавање рова са набијањем земље у слојевима</t>
  </si>
  <si>
    <t>1.4</t>
  </si>
  <si>
    <t>Разастирање песка у ров, 6м³ на 100м рова (за ров 0,4м)</t>
  </si>
  <si>
    <t>1.5</t>
  </si>
  <si>
    <t>Полагање цеви ф 40 мм ПЕ у ископани ров</t>
  </si>
  <si>
    <t>1.6</t>
  </si>
  <si>
    <t>Полагање цеви ф 110 мм ПВЦ у ископани ров</t>
  </si>
  <si>
    <t>1.7</t>
  </si>
  <si>
    <t xml:space="preserve">Постављање упозоравајуће ПВЦ траке </t>
  </si>
  <si>
    <t>1.8</t>
  </si>
  <si>
    <t>Постављање бетонског стубића или металне плочице за обележавање трасе кабла</t>
  </si>
  <si>
    <t>1.9</t>
  </si>
  <si>
    <t>Набацивање парица на реглету 10x2 на изводу са уградњом реглета, обрачун по реглети 10x2</t>
  </si>
  <si>
    <t>1.10</t>
  </si>
  <si>
    <t xml:space="preserve">Уградња изводног ормана ИТО ИИ у зид од опеке. </t>
  </si>
  <si>
    <t>1.11</t>
  </si>
  <si>
    <t xml:space="preserve">Повезивање унутрашњег извода на темељни уземљивач зграде (најближу сабирницу) или на спољни уземљивач, полагањем П/Ф кабла 16 мм2  </t>
  </si>
  <si>
    <t>ЗАВРШНИ РАДОВИ И МЕРЕНЈА</t>
  </si>
  <si>
    <t>1.12</t>
  </si>
  <si>
    <t xml:space="preserve">Електрична мерења отпора радних и заштитних уземљења са израдом протокола мерења </t>
  </si>
  <si>
    <t>ОСТАЛИ РАДОВИ</t>
  </si>
  <si>
    <t>1.13</t>
  </si>
  <si>
    <t>Израда техничке документације изведеног стања - за кабловску ТТ канализацију</t>
  </si>
  <si>
    <t>1.14</t>
  </si>
  <si>
    <t xml:space="preserve">Транспортни трошкови и организација градилишта </t>
  </si>
  <si>
    <t>пауш</t>
  </si>
  <si>
    <t>МАТЕРИЈАЛ (НАБАВКА И ИСПОРУКА)</t>
  </si>
  <si>
    <t>1.15</t>
  </si>
  <si>
    <t xml:space="preserve">Песак </t>
  </si>
  <si>
    <t>1.16</t>
  </si>
  <si>
    <t xml:space="preserve">Шљунак </t>
  </si>
  <si>
    <t>1.17</t>
  </si>
  <si>
    <t>ПВЦ цев  фи 110мм/6м</t>
  </si>
  <si>
    <t>1.18</t>
  </si>
  <si>
    <t>Чеп за цев фи 110мм</t>
  </si>
  <si>
    <t>1.19</t>
  </si>
  <si>
    <t>ПЕ цев фи 40 мм</t>
  </si>
  <si>
    <t>1.20</t>
  </si>
  <si>
    <t>Чеп за цев фи 40мм</t>
  </si>
  <si>
    <t>1.21</t>
  </si>
  <si>
    <t>Бетонски стубић или плочица за обележавање</t>
  </si>
  <si>
    <t>1.22</t>
  </si>
  <si>
    <t>Позор трака</t>
  </si>
  <si>
    <t>1.23</t>
  </si>
  <si>
    <t>П/Ф 1 x 16РФ</t>
  </si>
  <si>
    <t>1.24</t>
  </si>
  <si>
    <t>Реглете “КРОНЕ” раставне ЛСА ПЛУС ДСЛ 3</t>
  </si>
  <si>
    <t>1.25</t>
  </si>
  <si>
    <t>Реглете “КРОНЕ” ранжирне ЛСА ПЛУС ДСЛ 3</t>
  </si>
  <si>
    <t>1.26</t>
  </si>
  <si>
    <t>Носач реглете</t>
  </si>
  <si>
    <t>1.27</t>
  </si>
  <si>
    <t>изводни ормар за уградњу у зид, ИТО-ИИ</t>
  </si>
  <si>
    <t>ОПШТИ ИНСТАЛАЦИОНИ МАТЕРИЈАЛ</t>
  </si>
  <si>
    <t>2.1</t>
  </si>
  <si>
    <t>Перфорирани носач каблова димензија 200x50мм, у комплету са са свим потребним носачима, ојачањима и спојницама, повезан на систем главног изједначења потенцијала. Формира се вертикални кабловски канал унутар гипс-картонског зида.</t>
  </si>
  <si>
    <t>2.2</t>
  </si>
  <si>
    <t>Инсталациони кабл типа Н2XХ 1x16РЕ - финожични проводник пресека 16мм2 са ЛС0Х изолацијом жуто-зелене боје, за повезивање на систем главног изједначења потенцијала</t>
  </si>
  <si>
    <t>2.3</t>
  </si>
  <si>
    <t>Узидна разводна кутија са пластичним поклопцем приближних димензија 250x200x80мм за уградњу у зид са уводима са свих страна и пластичним поклопцем. Кутија се монтира у приземљу испод плафона, на месту рачвања хоризонталног И вертикалног кабловског развода.</t>
  </si>
  <si>
    <t>2.4</t>
  </si>
  <si>
    <t>Израда ревизионог отвора у гипс-картонском зиду риближних димензија 250x250мм, на свакој етажи (И и ИИ спрат) испод плафона, на месту рачвања хоризонталног И вертикалног кабловског развода.</t>
  </si>
  <si>
    <t>2.5</t>
  </si>
  <si>
    <t>Ситан потрошни материјал</t>
  </si>
  <si>
    <t>СТРУКТУРНИ КАБЛОВСКИ СИСТЕМ</t>
  </si>
  <si>
    <t>Позиције обухватају набавку и испоруку инсталационог материјала и опреме, полагање каблова и монтажу опреме, као и њихово повезивање на систем. Целокупан инсталациони материјал је од ЛСФР0Х материјала (без халогених елемената, не шири пожар, приликом изложености ватри ослобађа дим мале густине)</t>
  </si>
  <si>
    <t>ДИСТРИБУЦИОНИ ОРМАР БД</t>
  </si>
  <si>
    <t>3.1</t>
  </si>
  <si>
    <t>Слободностојећи рацк ормар величине 42У/19",са постољем висине 100мм, са демонтажном бочном и задњом страном, точкићима/ножицама са нивелацијом, стакленим вратима са ручицом и бравом, уводницима за каблове, димензија у основи 600x800мм (ШxД). Ормар треба да је комплетно монтиран и повезан на систем главног изједначења потенцијала.
(Легранд Линкео или сличан)</t>
  </si>
  <si>
    <t>Уз ормар испоручити и уградити следећу опрему:</t>
  </si>
  <si>
    <t>3.2</t>
  </si>
  <si>
    <t>Разводни панел 230В/50Хз са 8 утичних места (2П+Г) и прекидачем
(Легранд кат.озн. 646556 или сличан)</t>
  </si>
  <si>
    <t>3.3</t>
  </si>
  <si>
    <t>Панел са 2 вентилатора и термостатом
(Легранд кат.озн. 646430 или сличан)</t>
  </si>
  <si>
    <t>3.4</t>
  </si>
  <si>
    <t>Преспојни (патцх) панел 19"/1У за 24  модула РЈ-45</t>
  </si>
  <si>
    <t>3.5</t>
  </si>
  <si>
    <t>Оклопљен модул за уградњу у патцх панел, РЈ-45/С категорије 5е, са одговарајућим сертификатом за категорију 5е. Комплет са терминирањем проводника.</t>
  </si>
  <si>
    <t>3.6</t>
  </si>
  <si>
    <t>Преспојни воице панел 19"/1У са 25 модула РЈ-45/У - 4 пина, ЛСА реглете са задње стране.
Комплет са терминирањем проводника.</t>
  </si>
  <si>
    <t>3.7</t>
  </si>
  <si>
    <t>Панел (ранжер) за вођење каблова висине 1У.
(Легранд кат.озн. 646520 или сличан)</t>
  </si>
  <si>
    <t>3.8</t>
  </si>
  <si>
    <t>УПС он-лине доубле цонверсион, 1500ВА монофазни, рацк-моунт 2У (монтажа у ормар дубине 800мм)</t>
  </si>
  <si>
    <t>ИНСТАЛАЦИОНИ МАТЕРИЈАЛ И ОПРЕМА</t>
  </si>
  <si>
    <t>3.9</t>
  </si>
  <si>
    <t>Ребраста ЛС0Х инсталациона цев пречника до 20мм. Позиција обухвата уградњу потребних разводних кутија, обујмица и наставака.</t>
  </si>
  <si>
    <t>3.10</t>
  </si>
  <si>
    <t>Инсталациони кабл ТИ ДСЛ (60) ЛС0Х 10x2x0,6мм</t>
  </si>
  <si>
    <t>3.11</t>
  </si>
  <si>
    <t>Инсталациони кабл СФ/УТП цат5е 200МХз 4x2x24АWГ ЛС0Х. Каблови се полажу у ПНК каналима и делимично кроз инсталационе цеви.
(Р&amp;М кат.озн. Р35053 или еквивалентан)</t>
  </si>
  <si>
    <t>3.12</t>
  </si>
  <si>
    <t>Модуларно прикључно место величине 2М које садржи:
- инсталациону кутију за уградњу у зид величине 2М
- носач механизама величине 2М
- пластични оквир у белој боји величине 2М
(Програм Легранд Мосаиц Или еквивалентан)</t>
  </si>
  <si>
    <t>АКТИВНА МРЕЖНА ОПРЕМА</t>
  </si>
  <si>
    <t>3.13</t>
  </si>
  <si>
    <t>ОСТАЛО</t>
  </si>
  <si>
    <t>3.14</t>
  </si>
  <si>
    <t>Ситан потрошни материјал.</t>
  </si>
  <si>
    <t>3.15</t>
  </si>
  <si>
    <t>По завршеном послу и извођењу свих врста радова  потребно је обезбедити:
- испитивање и обележавање инсталације
- мерења - атест за сваки мрежни прикључак, у складу са СРПС ЕН 50346</t>
  </si>
  <si>
    <t>ВИДЕО НАДЗОР</t>
  </si>
  <si>
    <t>РАЗВОДНИ ОРМАР РО-ЦЦТВ</t>
  </si>
  <si>
    <t>4.1</t>
  </si>
  <si>
    <t>Назидни рацк ормар величине 9У/19", са предњом шином, стакленим вратима са ручицом и бравом, димензија у основи 600x450мм (ШxД).
Ормар треба да је комплетно монтиран и повезан на систем главног изједначења потенцијала</t>
  </si>
  <si>
    <t>4.2</t>
  </si>
  <si>
    <t>Разводни панел 230В/50Хз са 7 утичних места (2П+Г), прекидачем и пренапонском заштитом</t>
  </si>
  <si>
    <t>4.3</t>
  </si>
  <si>
    <t>4.4</t>
  </si>
  <si>
    <t>4.5</t>
  </si>
  <si>
    <t>УПС Он-лине доубле цонверсион 1000ВА, монофазни 230ВАЦ</t>
  </si>
  <si>
    <t>СИСТЕМСКИ УРЕЂАЈИ</t>
  </si>
  <si>
    <t>4.6</t>
  </si>
  <si>
    <t>Колор ХД ТВИ ДОМЕ камера за унутрашњу или спољну монтажу, 1/3" Прогрессиве Сцан ЦМОС сензор, високе резолуције ХД720П (1.3 мегапиксела 1280 x 720 пиксела), објектив 3.6мм, монтажа у 3-осе, осетљивост 0.01луx@(Ф1.2, АГЦ ОН), опсег температурног рада - 40оЦ - +60оЦ, аутоматски дневно-ноћни режим рада са ИР ЦУТ филтером, паметна ИР расвета домета до 20м, напајање 12ВДЦ, потрошња максимално 3,5W са укљученим ИР ЦУТ филтером
(ХИКВисион ХКВ-ДС-2ЦЕ56Ц2Т-ИРМ или еквивалентна)</t>
  </si>
  <si>
    <t>4.7</t>
  </si>
  <si>
    <t>Колор ХД ТВИ ДОМЕ камера за унутрашњу или спољну монтажу, 1/3" Прогрессиве Сцан ЦМОС сензор, високе резолуције ХД720П (1.3 мегапиксела 1280 x 720 пиксела), ДЦ ауто-ирис варифокални објектив 2.8-12мм, монтажа у 3-осе, осетљивост 0.001 Луx @(Ф1.2,АГЦ ОН), 0 Луx wитх ИР, опсег температурног рада -30°Ц ~ 60°Ц, аутоматски дневно-ноћни режим рада са ИР ЦУТ филтером, паметна ИР расвета домета до 40м, напајање 12ВДЦ, потрошња максимално 4,5W са укљученим ИР ЦУТ филтером
(ХИКВисион ХКВ-ДС-2ЦЕ56Ц2ТВФИР3 или еквивалентна)</t>
  </si>
  <si>
    <t>4.8</t>
  </si>
  <si>
    <t>ХД-ТВИ буллет камера, Резолуција 1 Мпиx (ХД
720п@25 фпс); 1/3'' Прогрессиве Сцан ЦМОС сензор; Механички ИР филтер (ИЦР); Осетљивост 0.01 Луx (0 ИР он); Фиксни објектив 3.6 мм; ЕXИР технологија расвете са дометом до 40 м (Смарт ИР); За унутрашњу/спољашњу монтажу (ИП66); ДНР; Радна температура - 40°Ц~60°Ц; Напајање 12Вдц/4W
(ХИКВисион ХКВ-ДС-2ЦЕ16Ц0Т-ИТ3 или еквивалентна)</t>
  </si>
  <si>
    <t>4.9</t>
  </si>
  <si>
    <t>Колор ХД ТВИ водоотпорна камера за спољну монтажу, ИП66, 1/3" Прогрессиве Сцан ЦМОС сензор, буллет метално кућиште, аутоматски дневно-ноћни режим рада са механичким ИР ЦУТ филтером, високе резолуције 720п (1.3 мегапиксела 1280 x 720 пиксела), паметна ИР расвета домета до 40м, ДЦ ауто-ирис варифокални објектив 2.8-12мм, осетљивост0.001 Луx @(Ф1.2,АГЦ ОН), 0 Луx wитх ИР, опсег температурног рада -30°Ц ~ 60°Ц, напајање 12ВДЦ, потрошња максимално 6W са укљученим ИР ЦУТ филтером
(ХИКВисион ХКВ-ДС-2ЦЕ16Ц2ТВФИР3 или еквивалентна)</t>
  </si>
  <si>
    <t>4.10</t>
  </si>
  <si>
    <t>4.11</t>
  </si>
  <si>
    <t>Хард диск капацитета 2ТБ / 5400рпм / 64МБ / САТА 3
(Wестерн Дигитал WД20ПУРX или еквивалентан)</t>
  </si>
  <si>
    <t>4.12</t>
  </si>
  <si>
    <t>22" ФУЛЛ ХД ТФТ-ЛЕД професионални монитор, Резолуција слике до 1920x1080, Осветљај 250цд/м2, контраст 1000:1, Одзив 5мс, формат слике 16:9, Улази - БНЦx2 (лооп)/ ВГА/ ХДМИ, уграђен звучник 2x1W
(Самсунг СМТ-2232В или еквивалентан)</t>
  </si>
  <si>
    <t>4.13</t>
  </si>
  <si>
    <t>Инсталациони кабл типа РГ-59 ЛС0Х, 75охм, проводник од бакра, покривеност бакарним оплетом најмање 95%</t>
  </si>
  <si>
    <t>4.14</t>
  </si>
  <si>
    <t>Инсталациони кабл типа Ф/УТП 4x2x23АWГ категорије 6, за напајање камера 12ВДЦ</t>
  </si>
  <si>
    <t>4.15</t>
  </si>
  <si>
    <t>4.16</t>
  </si>
  <si>
    <t>Софтwаре за централни видео надзор за све уређаје (ДВР, хибрдини ДВР, ИП камере, НВР ПЦ ДВР плоче). Подржава преко 50 уређаја, гледање "живе" слике са до 64 камере на једном екрану, подржава четири ВГА монтиора (функција Трипле Монитор), додатне функције: могућност еxпортовања видео информације ка више различитих уређаја, централни пријем и обрада алармних сигнала са свих повезаних уређаја, синхронизован преглед снимка са до 16 камере једновремено преко мреже, подршка за УСБ јоyстицк, Подршка за уношење МАПЕ са тачним распоредом камера на објекту, Е-МАП функција, Аларм ЛОГови са снимљеном алармном сликом, функција "ПОП-УП прозора при алармној ситуацији.
(ИВМС4200 или сличан)</t>
  </si>
  <si>
    <t>4.17</t>
  </si>
  <si>
    <t>Ситан потрошни материјал и непредвиђени трошкови.</t>
  </si>
  <si>
    <t>4.18</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</si>
  <si>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изолације,функционално испитивање, издавање атеста и пуштање у рад;
2. програмирање уређаја;
3. Инсталацију и прилагођење софтwаре-а;
4. Едукацију руковаоца системом.</t>
  </si>
  <si>
    <t>ПРОТИВПРОВАЛНИ АЛАРМНИ СИСТЕМ</t>
  </si>
  <si>
    <t>5.1</t>
  </si>
  <si>
    <t>Алармна централа са следећим карактеристикама и опремом:
- метално кућиште, везано на систем главног изједначења потенцијала
- 192 зоне
- мин 8 партиција
- мин 4 програмабилнх излаза
- мин 8 зона на плочи
- интегрисана функција контроле приступа
- мрежно напајање: 230ВАЦ
- резервно напајање 12В/7Ах
- анти тампер прекидач
(Парадоx Дигиплеx Ево192 или слична)</t>
  </si>
  <si>
    <t>Набавка, испорука, монтажа и повезивање са дојавном централом следеће опреме:</t>
  </si>
  <si>
    <t>5.2</t>
  </si>
  <si>
    <t>Дигитални детектор покрета са дуалним елементом; двоструки ПИР елемент; Дигитал Дуал Едге Процессинг; 110° видни угао, 12мх12м, у комплету са зидним/плафонским носачем
(Парадоx ДГ55 или сличан)</t>
  </si>
  <si>
    <t>5.3</t>
  </si>
  <si>
    <t>Магнетни контакт за монтажу у/на врата</t>
  </si>
  <si>
    <t>5.4</t>
  </si>
  <si>
    <t>Шифратор “Тоуцх сенсе”, ЛЕД позадинско осветљење, ЛЦД дисплаy 32 карактера, отпоран на прашину, 1 зона, 1 ПГМ.
(Парадоx К656 или сличан)</t>
  </si>
  <si>
    <t>5.5</t>
  </si>
  <si>
    <t>Спољашња антисаботажна сирена са сопственим резервним напајањем (батеријом) са строб лампом 120дБ/1м</t>
  </si>
  <si>
    <t>5.6</t>
  </si>
  <si>
    <t>Ребраста ЛС0Х инсталациона цев пречника 13-16мм. Позиција обухвата уградњу потребних разводних кутија, обујмица и наставака.</t>
  </si>
  <si>
    <t>5.7</t>
  </si>
  <si>
    <t>Инсталациони кабл Ј-Х(Ст)Х 3x2x0,6мм</t>
  </si>
  <si>
    <t>5.8</t>
  </si>
  <si>
    <t>Инсталациони кабл Ј-Х(Ст)Х 1x2x0,6мм</t>
  </si>
  <si>
    <t>5.9</t>
  </si>
  <si>
    <t>5.10</t>
  </si>
  <si>
    <t>По завршеном послу и извођењу свих врста радова  потребно је обезбедити:
1. Програмирање централе, функционално испитивање и пуштање у рад
2. Атест за функционално испитивање система
3. Едукација руковаоца системом</t>
  </si>
  <si>
    <t>5.11</t>
  </si>
  <si>
    <t>израда пројекта изведених инсталација противпровалног алармног система</t>
  </si>
  <si>
    <t>СОС СИГНАЛИЗАЦИЈА</t>
  </si>
  <si>
    <t>6.1</t>
  </si>
  <si>
    <t>Напојна јединица  (12В-/2,5А) тип НЈ 2011 производње ПМЕ или еквавилентна</t>
  </si>
  <si>
    <t>6.2</t>
  </si>
  <si>
    <t>Микропроцесорски терминал за уградњу у зид на висини 1,2-1,5м, са уградњом дозне и повезивањем пројектованих елемената. Терминал је сличан типу СТ 2002 произвођача ПМЕ.</t>
  </si>
  <si>
    <t>6.3</t>
  </si>
  <si>
    <t>Притисни СОС тастер, монтира се на висини 0,8м од пода. Тастер омогућава ургентни СОС позив из тоалета.</t>
  </si>
  <si>
    <t>6.4</t>
  </si>
  <si>
    <t>Двобојна собна сигнална лампа тип ССЛ 2003 производње ПМЕ или еквавилентна која се монтира испред улаза тоалета</t>
  </si>
  <si>
    <t>6.5</t>
  </si>
  <si>
    <t>Паралелни индикатор за уградњу у парапетни канал. Паралелни индикатор је типа ПИ 2002  произвођача ПМЕ, или сличан.</t>
  </si>
  <si>
    <t>6.6</t>
  </si>
  <si>
    <t>Ребраста инсталациона цев пречника 13-16мм. Позиција обухвата уградњу потребних разводних кутија, обујмица и наставака.</t>
  </si>
  <si>
    <t>6.7</t>
  </si>
  <si>
    <t>6.8</t>
  </si>
  <si>
    <t>6.9</t>
  </si>
  <si>
    <t>6.10</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</si>
  <si>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 функционално испитивање, издавање атеста и пуштање у рад;
2. Програмирање уређаја;
3. Обуку корисника.</t>
  </si>
  <si>
    <t>VII</t>
  </si>
  <si>
    <t>АУТОМАТСКА ДОЈАВА ПОЖАРА</t>
  </si>
  <si>
    <t>7.1</t>
  </si>
  <si>
    <t>Централа за дојаву пожара 
СЦХРАЦК-СЕЦОНЕТ ИНТЕГРАЛ ИП БX - Б7
/Микропоцесорска централа Интеграл ИП БX основној конфигурацији садржи:
-пластични АБС кабинет са интегрисаним интерним контролно-управљачким панелом Б7-ЦИИл;
- Б7-X1-МЦУ матичну плочу са главним процесором. Матична плоча садржи: Б7-ПСУ напојњу јединицу са пуњачем батерија, слот за меморијску СД картицу, УСБ 1.1 интерфејс
- Б7-ПСУ напојна јединица, са пуњачем батерија
- Б7-ЦИИ контролно управљачки панел са ЛЦД екраном са 6 редова/40 карактера у сваком реду, садржи 2 програмабилна слободна тастера, 2 програмабилна слободна 3-бојна ЛЕД индикатора, конектор за ЕИП индикатор панел, испис на српском језику, приказ 5 статусних листа (аларми, грешке, искључења, активирања, остало), приказ искључења/укључења зона, излаза, улаза, петљи.
Карактеристике централе:
- 1 адресабилна X-Лине петлља, за прикључење до 250 адресних елемената у петљи;
- дужина петље до 3500м;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t>
  </si>
  <si>
    <t>7.2</t>
  </si>
  <si>
    <t>Оловни акумулатор 12В/7Ах</t>
  </si>
  <si>
    <t>7.3</t>
  </si>
  <si>
    <t>Телефонски јављач аларма, дојава на најмање 2 телефонска броја</t>
  </si>
  <si>
    <t>7.4</t>
  </si>
  <si>
    <t>Детектор за дојаву пожара са подножјем 
СЦХРАЦК-СЕЦОНЕТ МТД-533X
/Адресабилни комбиновани ддетектор, може бити конфигурисан као оптички детектор, термички детектор или комбиновани оптичко-термички детектор у складу са ЕН 54-7 и ЕН 54-5 нормама, за рану детекцију тињајућих и отворених пожара са појавом дима или без дима. 
Оптички детектор ради на принципу ЦУБУС ефекта, са аутоматском адаптацијом на стање околине у којој је. Темички детектор се конфигурише за рад у класи А1, А2 и Б, у условима нормално повишене температура (индекс С) и нормално смањене темературе (индекс Р). Детектор поседује могућност програмског подешавања прага аларма и перманентног само-надзора у циљу аутоматске интерактивне адаптације. Садржи интегрисани изолатор петље. Програмско додељивање адресе и аутоматско препознавање јединственог серијског броја детектора. Радна температура -25°/+60°Ц, дозвољена влажност 70% перманентно, 95% краткотрајно, радни напон 16-30В, напајање из петље. Степене заштите ИП 44 (са базом), димензије са базом 118x67,5мм (ДxВ), тежина 125г, кућиште од АБС пластике. ВдС сертификат бр.Г210115/</t>
  </si>
  <si>
    <t>7.5</t>
  </si>
  <si>
    <t>Ручни јављач сличан типу СЦХРАЦК-СЕЦОНЕТ МЦП545X-1Р
/Адресабилни за унутрашњу монтажу, за рад у X-ЛИНЕ адресној петљи, типа Б у складу са ЕН54-11, двостепена активација, лом стакла и притисак на тастер са меморијом. ЛЕД индикација аларма. Интегрисани изолатор петље. Напајање из петље, степен заштите ИП54.ВдС сертификат бр.Г210095/
Испорука и монтажа</t>
  </si>
  <si>
    <t>7.6</t>
  </si>
  <si>
    <t>Релејни модул, БX-РЕЛ4 СЦХРАЦК-СЕЦОНЕТ за рад у X-ЛИНЕ адресној петљи, садржи 4 програмабилна фаил-сафе излаза. Интегрисани изолатор петље. Напајање из петље, потрошња 0,51мА, степен заштите ИП66 са кутијом типа ГЕХ МОД2, радна температура  -20°/+60°Ц, димензије 100x67x20мм.  Са кутијом за монтажу ГЕХ-МОД2 степен заштите ИП66. ВдС сертификат бр.Г210134
Испорука и монтажа</t>
  </si>
  <si>
    <t>7.7</t>
  </si>
  <si>
    <t>Алармна сирена са бљескалицом, типа ВБТ-02 СЦХРАЦК-СЕЦОНЕТ конвенционалног типа, за унутрашњу монтажу. Селектор 32 тона, напајање 18-35В, потрошња 41мА на 24В, гласност 78-98дБ/м, црвене боје, степен заштите ИП65.
ВдС сертификат бр.Г28702</t>
  </si>
  <si>
    <t>ИНСТАЛАЦИОНИ МАТЕРИЈАЛ</t>
  </si>
  <si>
    <t>7.8</t>
  </si>
  <si>
    <t>Ребраста ЛСФР0Х инсталациона цев пречника 16-20мм. Позиција обухвата уградњу потребних разводних кутија, обујмица и наставака.</t>
  </si>
  <si>
    <t>7.9</t>
  </si>
  <si>
    <t>Инсталациони кабл Ј-Х(Ст)Х 2x2x0,8мм</t>
  </si>
  <si>
    <t>7.10</t>
  </si>
  <si>
    <t>Инсталациони кабл ЈЕ-Х(Ст)Х 2x2x0,8мм ФЕ180Е30, монтажа на обујмицама у класи Е30 (3 ком/1м)</t>
  </si>
  <si>
    <t>7.11</t>
  </si>
  <si>
    <t>Одстојна обујмица ватроотпорна  732 8 ГТП + анкер вијак, са навојем М6, 6x30мм, галвански поцинковано, ДИН 50961 ФНА ИИ 6X30 М6/5, ОБО БЕТТЕРМАНН</t>
  </si>
  <si>
    <t>7.12</t>
  </si>
  <si>
    <t>Плочица за означавање адресабилних елемената</t>
  </si>
  <si>
    <t>7.13</t>
  </si>
  <si>
    <t>7.14</t>
  </si>
  <si>
    <t>По завршеном послу и извођењу свих врста радова  потребно је обезбедити:
- Стручни налаз о прегледу, мерењу и испитивању електричних инсталација (СРПС ЕН 60364-6)
- Изјава да је инсталација система за дојаву пожара изведена према пројектној документацији
- Одговарајуће исправе о усаглашености електричног развода и опреме који су предмет пројекта
- Програмирање централе, функционално испитивање и пуштање у рад
- Едукацију руковаоца системом</t>
  </si>
  <si>
    <t>предмера и предрачуна радова на телекомуникационим инсталацијама</t>
  </si>
  <si>
    <t>УКУПНО (РСД) :</t>
  </si>
  <si>
    <t>уз  пројекат  ТЕРМОТЕХНИЧКИХ ИНСТАЛАЦИЈА објекта " Прекршајни суд у Пожаревцу"  спратности П+2</t>
  </si>
  <si>
    <t>Р.бр. Поз.</t>
  </si>
  <si>
    <t>јед.мере</t>
  </si>
  <si>
    <t>ИНСТАЛАЦИЈА ГРЕЈАЊА</t>
  </si>
  <si>
    <t>Греjна тела и цевна мрежа</t>
  </si>
  <si>
    <t xml:space="preserve">Испорука и уградња челичних панелних радијатора  тип"JUGOTERM" Mерошина, или слични, у комплету са конзолама, одстојницима, чеповима, одзракама, заптивачима.    </t>
  </si>
  <si>
    <t xml:space="preserve">  </t>
  </si>
  <si>
    <t>22-600х400</t>
  </si>
  <si>
    <t>22-600х600</t>
  </si>
  <si>
    <t>22-600х800</t>
  </si>
  <si>
    <t>22-600х1000</t>
  </si>
  <si>
    <t>22-600х1200</t>
  </si>
  <si>
    <t>тип 10-600х400</t>
  </si>
  <si>
    <t>тип 10-600х600</t>
  </si>
  <si>
    <t>тип 11-600х600</t>
  </si>
  <si>
    <t>Испорука и монтажа "HERZ" термостатских радијаторских вентила са термоглавама и преднамештањем, или сличних, угаоних,DN15 PN6, са израдом веза за прикључење грејних тела</t>
  </si>
  <si>
    <t>Испорука и монтажа  радијаторских навијака, угаоних,DN15 PN6, са израдом веза за прикључење грејних тела</t>
  </si>
  <si>
    <t>Испорука и монтажа бакарних цеви(SRPS.C.D5.502.),         у свему према графичкој документацији:</t>
  </si>
  <si>
    <t>ф 54x2mm</t>
  </si>
  <si>
    <t>m</t>
  </si>
  <si>
    <t xml:space="preserve">  ф 42x1.5mm</t>
  </si>
  <si>
    <t xml:space="preserve">  ф 32x1.5mm</t>
  </si>
  <si>
    <t xml:space="preserve"> ф 28x1.5mm</t>
  </si>
  <si>
    <t>ф 22x1mm</t>
  </si>
  <si>
    <t>Испорука и монтажа цевне еластомерне изолацијe ARMAFLEX                                                                 Плаћа се по метру дужном инсталације.</t>
  </si>
  <si>
    <t>AC/XG 54/13mm</t>
  </si>
  <si>
    <t>AC/XG 42/13mm</t>
  </si>
  <si>
    <t>AC/XG 35/13mm</t>
  </si>
  <si>
    <t>AC/XG 28/13mm</t>
  </si>
  <si>
    <t>AC/XG 22/13mm</t>
  </si>
  <si>
    <t>Испорука и монтажа Аl- Pex цеви у комплету са топлотном изолацијом дебљине 4 mm.                                               Плаћа се по метру дужном инсталације.</t>
  </si>
  <si>
    <t>ф16 x 2 mm</t>
  </si>
  <si>
    <t>ф18 x 2 mm</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</si>
  <si>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40% од позиција I.5 I I.6</t>
  </si>
  <si>
    <t>Испорука и монтажа "HERZ" ручног регулационог вентила за ограничење протока са осигурачем, или сличног, са прикључцима за мерење и бројем окретаја на ручици</t>
  </si>
  <si>
    <t>DN20 PN6</t>
  </si>
  <si>
    <t>DN25 PN6</t>
  </si>
  <si>
    <t>DN32 PN6</t>
  </si>
  <si>
    <t>Испорука и уградња пластифициране металне кутије са запорним кугла вентилом ,разделником и сабирником,мини кугла вентилима са полуспојницама за Al-Pex цеви, аутоматским одзрачним вентилима DN15 и славинама за пуњење и пражњење DN15.                                            Кутија мора да има могућност закључавања (универзални кључ) и да буде довољних димензија за уградњу припадајуће опреме.Плаћа се по испорученој и монтираној кутији у зависности од броја циркулационих кругова који се прикључују</t>
  </si>
  <si>
    <t>бр.цирк. кругова:6 (450х650х110мм)</t>
  </si>
  <si>
    <t>бр.цирк. кругова:7(450х850х110мм)</t>
  </si>
  <si>
    <t>бр.цирк. кругова:8(450х850х110мм</t>
  </si>
  <si>
    <t>Пробијање отвора у грађевинским конструкцијама објекта ради пролаза цевне мреже.</t>
  </si>
  <si>
    <t>Затварање отвора из претходне позиције</t>
  </si>
  <si>
    <t>УКУПНО I</t>
  </si>
  <si>
    <t>II Топлотна подстаница</t>
  </si>
  <si>
    <t>Испорука и уградња равног запорног вентила са прирубницама, укључујући и потребне контраприрубнице, спојни и заптивни материјал, димензије DN32 PN16</t>
  </si>
  <si>
    <t>Испорука и монтажа одмуљно-одзрачног суда, израђеног од челичне цеви ø60.3mm,дужине 800mm,са два кугла вентила DN15 PN16  и цевним везама ø21.3x2mm за испуштање ваздуха, односно одмуљивање.</t>
  </si>
  <si>
    <t>Испорука и уградња суда за умирење протока, ирађеног од челичне цеви ø 48.3x300mm</t>
  </si>
  <si>
    <t>Испорука и уградња  манометра за опсег мерења 0+16 bara</t>
  </si>
  <si>
    <t>Испорука и монтажа термометра у месинганој чаури за опсег мерења 0-150ºC</t>
  </si>
  <si>
    <t>Испорука и монтажа хватача нечистоће DN32PN16 са прирубницама, укључујући и потребне контраприрунице, спојни и заптивни материјал</t>
  </si>
  <si>
    <r>
      <t>Испорука и уградња плочастог измењивача              TRACO LSL1-14 (или сличног) са навојним спојем снаге Q=80кW      Примар:врела вода 120/70</t>
    </r>
    <r>
      <rPr>
        <vertAlign val="superscript"/>
        <sz val="10"/>
        <rFont val="Arial"/>
        <family val="2"/>
      </rPr>
      <t>0</t>
    </r>
    <r>
      <rPr>
        <sz val="10"/>
        <rFont val="Arial"/>
        <family val="2"/>
      </rPr>
      <t>C  PN16                                           Секундар:топла вода 85/67</t>
    </r>
    <r>
      <rPr>
        <vertAlign val="superscript"/>
        <sz val="10"/>
        <rFont val="Arial"/>
        <family val="2"/>
      </rPr>
      <t>0</t>
    </r>
    <r>
      <rPr>
        <sz val="10"/>
        <rFont val="Arial"/>
        <family val="2"/>
      </rPr>
      <t>C, PN6</t>
    </r>
  </si>
  <si>
    <t>Испорука и уградња затвореног експанзионог суда "Elbi"tip:ERE-C 80/1/3 zapremine V=80I</t>
  </si>
  <si>
    <t>Испорука и уградња вентила сигурности са опругом,           DN25 PN6,надпритиска отварања 3 bar</t>
  </si>
  <si>
    <t>Испорука и монтажа термометра у месинганој чаури за опсег мерења 0-120ºC</t>
  </si>
  <si>
    <t>Испорука и уградња  манометра за опсег мерења 0+6 bara</t>
  </si>
  <si>
    <t xml:space="preserve">Испорука и уградња циркулационе пумпе са променљивим бројем обртаја са контраприрубницама и прирубничким сетом                                                                              WILO STRATOS 40/1-10 CAN PN6/10                                                 </t>
  </si>
  <si>
    <t>Испорука и уградња пригушивача буке и вибрације, са прирубницама и прирубничким сетом</t>
  </si>
  <si>
    <t>DN 40 PN6</t>
  </si>
  <si>
    <t>kpl</t>
  </si>
  <si>
    <t>Испорука и монтажа челичних безшавних цеви         (SRPS. C.B5.221), у свему према графичкој документацији</t>
  </si>
  <si>
    <t>ф42.4x2.3 mm</t>
  </si>
  <si>
    <t>ф21.3x2.6 mm</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</si>
  <si>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60% од позиција 14</t>
  </si>
  <si>
    <t xml:space="preserve">Испорука и уградња кугла вентила </t>
  </si>
  <si>
    <t>DN40 PN6</t>
  </si>
  <si>
    <t>Чишћење cеви до металног сјаја.након чишћења, испорука боје и двоструко бојење основном завршном термопостојаном бојом.</t>
  </si>
  <si>
    <t xml:space="preserve">испорука и монтажа термичке изолације од вуне дебљине  ð=50mm у облози од Al-лима, дебљине 1mm </t>
  </si>
  <si>
    <t>УКУПНО II</t>
  </si>
  <si>
    <t>ГРЕЈНА ТЕЛА И ЦЕВНА МРЕЖА</t>
  </si>
  <si>
    <t>ТОПЛОТНА ПОДСТАНИЦА</t>
  </si>
  <si>
    <t>УКУПНО I+II+III</t>
  </si>
  <si>
    <t>Инсталација климатизације</t>
  </si>
  <si>
    <t>Испорука и уградња спољашње јединице, VRV sistema инвертерског типа са носачем од челичних профила,произвођача  DAIKIN (или сличне), следећих карактеристика:</t>
  </si>
  <si>
    <t>tip : RXYQ18T</t>
  </si>
  <si>
    <t xml:space="preserve">Qhl=50kW </t>
  </si>
  <si>
    <t>Qgr=56kW</t>
  </si>
  <si>
    <t xml:space="preserve">Ei.podaci: Nel=15,0/12,6kW </t>
  </si>
  <si>
    <t>3x380V, 3~, 50Hz</t>
  </si>
  <si>
    <t>Електронапајање уређаја предвидети електро</t>
  </si>
  <si>
    <t>пројектом</t>
  </si>
  <si>
    <t>Испорука и монтажа унутрашње каналске нископритисне јединице VRV система , произвођача  DAIKIN или сличне следећих карактеристика:</t>
  </si>
  <si>
    <t>tip: FXDQ15A</t>
  </si>
  <si>
    <t>Qhl=1,7kW</t>
  </si>
  <si>
    <t xml:space="preserve">Qgr=1,9kW </t>
  </si>
  <si>
    <t>Napor:10/30Pa</t>
  </si>
  <si>
    <t xml:space="preserve">Ei.podaci: Nel=0,071/0,068kW </t>
  </si>
  <si>
    <t>1x220V, 50Hz</t>
  </si>
  <si>
    <t>WxHxD=200x750x620mm</t>
  </si>
  <si>
    <t xml:space="preserve"> tip: FXDQ20A</t>
  </si>
  <si>
    <t>Qhl=2.2kW</t>
  </si>
  <si>
    <t xml:space="preserve">Qgr=2.5kW </t>
  </si>
  <si>
    <t xml:space="preserve"> tip: FXDQ25A</t>
  </si>
  <si>
    <t>Qhl=2.8kW</t>
  </si>
  <si>
    <t xml:space="preserve">Qgr=3.2kW </t>
  </si>
  <si>
    <t>Испорука и монтажа убачних решетки са регулатором протока, са дворедим ламелама и пленумском кутијом</t>
  </si>
  <si>
    <t>Испорука и монтажа одсисних решетки са регулатором протока, са једноредим ламелама и пленумском кутијом</t>
  </si>
  <si>
    <t>Испорука и монтажа унутрашње касетне  јединице VRV система , произвођача  DAIKIN следећих карактеристика:</t>
  </si>
  <si>
    <t xml:space="preserve"> tip: FXFQ20A</t>
  </si>
  <si>
    <t xml:space="preserve">Ei.podaci: Nel=0,038/0,038kW </t>
  </si>
  <si>
    <t>WxHxD=840x8400x204mm</t>
  </si>
  <si>
    <t>панел:950x950x60</t>
  </si>
  <si>
    <t xml:space="preserve"> tip: FXFQ32A</t>
  </si>
  <si>
    <t>Qhl=3.6kW</t>
  </si>
  <si>
    <t xml:space="preserve">Qgr=4.0kW </t>
  </si>
  <si>
    <t>панел:950x950x60mm</t>
  </si>
  <si>
    <t>Испорука и монтажа декоративних панела за
унутрашње касетне јединице,произвођача   DAIKIN и то:
tip:BYCQ140D</t>
  </si>
  <si>
    <t xml:space="preserve">Испорука и монтажа жичаних контролера за </t>
  </si>
  <si>
    <t>унутрашње јединице, производ DAIKIN</t>
  </si>
  <si>
    <t>tip:BRC1E52B</t>
  </si>
  <si>
    <t>Испорука и монтажа фреонске рачве за повезивање за течну и гасну фазу унутрашњих јединица са спољашњом, са изолацијом , произвођача DAIKIN</t>
  </si>
  <si>
    <t>tip : KHRQ22M20T</t>
  </si>
  <si>
    <t>tip : KHRQ22M64T</t>
  </si>
  <si>
    <t>Испорука и монтажа  зидне јединице  јединице сплит система , произвођача  DAIKIN следећих карактеристика:</t>
  </si>
  <si>
    <t>tip :FTXS42K/RXS42L</t>
  </si>
  <si>
    <t>Qhl=1.7/4.2/5.0kW</t>
  </si>
  <si>
    <t>Qгр=1.7/5.4/6.0kW</t>
  </si>
  <si>
    <t>режим рада (хлађење):-15÷46ºC</t>
  </si>
  <si>
    <t>режим рада (грејање):15÷-18ºC</t>
  </si>
  <si>
    <t>Испорука и монтажа бакарних цеви за VRV систем</t>
  </si>
  <si>
    <t>следећих димензија</t>
  </si>
  <si>
    <r>
      <t xml:space="preserve">f </t>
    </r>
    <r>
      <rPr>
        <sz val="9"/>
        <rFont val="Arial"/>
        <family val="2"/>
      </rPr>
      <t>28,6мм</t>
    </r>
  </si>
  <si>
    <r>
      <t xml:space="preserve">f  </t>
    </r>
    <r>
      <rPr>
        <sz val="9"/>
        <rFont val="Arial"/>
        <family val="2"/>
      </rPr>
      <t>19,1мм</t>
    </r>
  </si>
  <si>
    <r>
      <t xml:space="preserve">f  </t>
    </r>
    <r>
      <rPr>
        <sz val="9"/>
        <rFont val="Arial"/>
        <family val="2"/>
      </rPr>
      <t>15,9мм</t>
    </r>
  </si>
  <si>
    <r>
      <t xml:space="preserve">f  </t>
    </r>
    <r>
      <rPr>
        <sz val="9"/>
        <rFont val="Arial"/>
        <family val="2"/>
      </rPr>
      <t>12,7мм</t>
    </r>
  </si>
  <si>
    <r>
      <t xml:space="preserve">f  </t>
    </r>
    <r>
      <rPr>
        <sz val="9"/>
        <rFont val="Arial"/>
        <family val="2"/>
      </rPr>
      <t>9,5мм</t>
    </r>
  </si>
  <si>
    <r>
      <t xml:space="preserve">f  </t>
    </r>
    <r>
      <rPr>
        <sz val="9"/>
        <rFont val="Arial"/>
        <family val="2"/>
      </rPr>
      <t>6,4мм</t>
    </r>
  </si>
  <si>
    <t xml:space="preserve">Za potrošni materijal za izvođenje prethodne </t>
  </si>
  <si>
    <t xml:space="preserve">poz.(tehnički gasovi i žica za zavarivanje, </t>
  </si>
  <si>
    <t>lukovi, klizni i fiksni oslonci, zaštitne cevi za</t>
  </si>
  <si>
    <t xml:space="preserve">prolaz kroz međusprat.konstrukciju, rozetne i </t>
  </si>
  <si>
    <t>dr) daje se 40% od preth.poz., tj.:</t>
  </si>
  <si>
    <t>%</t>
  </si>
  <si>
    <t>Испорука и монтажа цевне изолације за бакарни цевовод за VRV систем, са парном браном,</t>
  </si>
  <si>
    <t>Испорука и монтажа електрокаблова за међувезу унутрашњих и спољашњих јединица са адресирањем јединица VRV система, следећих димензија</t>
  </si>
  <si>
    <t>3х0.75м2</t>
  </si>
  <si>
    <t>м</t>
  </si>
  <si>
    <t>Испорука и монтажа ПВЦ цевовода за кондезат са унутрашњих јединица VRV системa, следећих димензија:</t>
  </si>
  <si>
    <t>f 25</t>
  </si>
  <si>
    <t>f 32</t>
  </si>
  <si>
    <t>F40</t>
  </si>
  <si>
    <t>Израда заштитне ограде  око спољашње јединице од жичане мреже</t>
  </si>
  <si>
    <t>Пуњење инсталације расхладним  флуидом Р410А, испитивање, вакумирање и пуштање система у рад</t>
  </si>
  <si>
    <t>Ц:</t>
  </si>
  <si>
    <t>Б.ИНСТАЛАЦИЈА КЛИМАТИЗАЦИЈЕ</t>
  </si>
  <si>
    <t>Ц</t>
  </si>
  <si>
    <t xml:space="preserve"> Инсталација вентилације</t>
  </si>
  <si>
    <t>Набавка и уградња вентилатора за уградњу у зид,        S&amp;P  DECOR 100 капацитета Q=95m3/h</t>
  </si>
  <si>
    <t>Набавка и уградња телескопског наставка за вентилатор спој са каналом за одвод за DECOR 100,са припадајућом опремом</t>
  </si>
  <si>
    <t>Набавка и уградња  флексибилног Al црева за одвод загађеног ваздуха GSA 125</t>
  </si>
  <si>
    <t>Набавка и уградња вентилатора за уградњу у зид,        S&amp;P DECOR 200 капацитета Q=185m3/h</t>
  </si>
  <si>
    <t>Набавка и уградња вентилатора за уградњу у зид,        S&amp;P DECOR 300 капацитета Q=280m3/h</t>
  </si>
  <si>
    <t>Набавка и уградња Al заштитне решетка за уградњу на зид, GRA-150</t>
  </si>
  <si>
    <t>Набавка и уградња преструјних решетки за уградњу на  вратима просторија које се вентилирају и то</t>
  </si>
  <si>
    <t>100х150мм</t>
  </si>
  <si>
    <t>100х200мм</t>
  </si>
  <si>
    <t>150х400мм</t>
  </si>
  <si>
    <t>ИНСТАЛАЦИЈА ВЕНТИЛАЦИЈЕ</t>
  </si>
  <si>
    <t>ИНСТАЛАЦИЈА КЛИМАТИЗАЦИЈЕ</t>
  </si>
  <si>
    <t>РЕКАПИТУЛАЦИЈА СВИХ ФАЗА ПРОЈЕКТА</t>
  </si>
  <si>
    <t>1.</t>
  </si>
  <si>
    <t>АРХИТЕКТОНСКО-ГРАЂЕВИНСКИ РАДОВИ</t>
  </si>
  <si>
    <t>3.</t>
  </si>
  <si>
    <t>ВОДОВОДНА, ХИДРАНТСКА И КАНАЛИЗАЦИОНА МРЕЖА</t>
  </si>
  <si>
    <t>4.</t>
  </si>
  <si>
    <t>ЕЛЕКТРОЕНЕРГЕТСКЕ ИНСТАЛАЦИЈЕ</t>
  </si>
  <si>
    <t>5.</t>
  </si>
  <si>
    <t>ТЕЛЕКОМУНИКАЦИОНЕ И СИГНАЛНЕ ИНСТАЛАЦИЈЕ</t>
  </si>
  <si>
    <t>6.</t>
  </si>
  <si>
    <t>МАШИНСКЕ ИНСТАЛАЦИЈЕ</t>
  </si>
  <si>
    <t>9.</t>
  </si>
  <si>
    <t>СПОЉАШЊЕ УРЕЂЕЊЕ</t>
  </si>
  <si>
    <t>ЕУ</t>
  </si>
  <si>
    <t>Обележавање терена пре почетка радова.
Обрачун по м2.</t>
  </si>
  <si>
    <t>Машинско чишћење терена и скидање површинског слоја земље дебљине до 10 цм. Употребљив хумус, за завршну обраду, одвојити на посебну депонију, што улази у цену. Вишак земље утоварити на камион и одвести на градску депонију.
Обрачун по м2.</t>
  </si>
  <si>
    <t>Набавка и разастирање шљунка у слоју дебљине 10 цм, испод темеља зида и бехатон плоча. Тампонски слој шљунка насути у слојевима, набити и фино испланирати са толеранцијом по висини ±1 цм. Обрачун по м2 набијеног шљунка.</t>
  </si>
  <si>
    <t>испод  темељног зида:</t>
  </si>
  <si>
    <t>испод бехатон плоча</t>
  </si>
  <si>
    <t>Реконструкција травњака са кошењем на местима означеним у пројекту. Преко фино испланираног терена извршити сетву травне смесе:
- Фестуца рубра 40%
- Фестуца овина 30%
- Поа пратенсис 20%
- Трифолиум репенс 10%
Сетву травног семена извршити равно из два унакрсна правца и то по мирном времену, без падавина и ветра. По извршеној сетви семе утиснути у земљу гвозденим јежом, а потом уваљати дрвеним ваљком и извршити интезивно поливање до пуног ницања траве. Поливање наставити свакодневно до првог кошења. Прво кошење извршити косом када трава достигне висину 10-15 цм а друго кошење извршити косачицом.
Обрачун по м2.</t>
  </si>
  <si>
    <t>Набавка и садња  листопадни садница.Ископати јаме пречника и дубине 0,50м. Из јаме избацити стерилну земљу и отпатке. Садњу обавити мешавином хумусне земље, тресетног ђубрива и песка у односу 6:3:1. Приликом садње саднице затрпати до 2/3 дубине јаме направљеном мешавином, а горњу трећину обогатити додатком тресетног ђубрива са 3кг по садници. Након обављене садње саднице оцанковати и добро залити. Обрачун по комаду саднице.</t>
  </si>
  <si>
    <t>БЕТОНСКИ И АРМИРАНО БЕТОНСКИ РАДОВИ</t>
  </si>
  <si>
    <t>Израда армирано бетонских АБ тракастих темеља испод зида око контејнера МБ 30. Бетонирање радити преко претходно разастртог шљунка дебљине слоја 10-20цм. Бетон уградити и неговати по прописима. Арматура урачуната у цену. Обрачун по м3.</t>
  </si>
  <si>
    <t>Набавка и поплочавање у слоју песка,"Бехатон" плочама, дебљине 6 цм, димензија 20*20,  у боји и тону по жељи инвеститора.  Плоче поставити у слоју песка и спојнице фуговати по избору пројектанта. Обрачун по м2 постављене површине.У цену улазе слој песка на који се полажу плоче.</t>
  </si>
  <si>
    <t>поплочање пешачког прилаза</t>
  </si>
  <si>
    <t>поплочање колског прилаза</t>
  </si>
  <si>
    <t>"РАСТЕР" ошупљене плоче -паркинг</t>
  </si>
  <si>
    <t>Израда зида за ограду око објекта од армираног бетона МБ20,  у висини од 20+40 цм, дебљине д=10цм. Арматура урачуната у цену.Обрачун по м3 уграђеног бетона</t>
  </si>
  <si>
    <t>Набавка и постављање баштенских бетонских ивичњака, димензија 18x12x50 цм. Ивичњаке поставити у слоју цементног малтера размере 1:2. Ивичњаке спојити цементним малтером, спојнице благо увући у односу на ивичњак и обрадити. Обрачун по м1 ивичњака.</t>
  </si>
  <si>
    <t>Набавка и постављање бетонских ригола, димензија, 40x40x11 цм, у боји по избору инвеститора. Риголе поставити у слоју цементног малтера размере 1:2. Спојнице фуговати и риголе очистити, по упутству пројектанта. Обрачун по м1 риголе.</t>
  </si>
  <si>
    <t>Зидање  зида око контејнера дебљине 7цм у висини од 1, 5 м, шупљом опеком у продужном малтеру размере Р 1:2:6 са израдом хоризонталних серклажа.. Марка бетона МБ20, а арматура серклажа 2 фи 8, узенгије фи6/25. Превез радити на пола опеке, а везу са осталим зидовима на правилан начин. По завршеном зидању спојнице очистити. У цену улази и израда серклажа, арматура, оплата и помоћна скела. Обрачун по м2.</t>
  </si>
  <si>
    <t>Малтерисање зидова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 Обрачун по м2 малтерисане површине.</t>
  </si>
  <si>
    <t>зидови ограде</t>
  </si>
  <si>
    <t>зидови око контејнера:</t>
  </si>
  <si>
    <t xml:space="preserve">
Израда и постављање ограде од челичних профила и флахова. Ограду израдити и уградити по шеми браварије. Ограда се састоји од косих и вертикалних челичних профила кружног пресека  ∅ 30 мм. Између главних вертикалних профила се налазе вертикални челични елементи кружног пресека  ∅ 20 мм, на међусобном осовинском растојању од 14 цм. Спојеве и варове идеално израдити, очистити и обрусити. Пре уградње ограду очистити од корозије и прашине, брусити и опајати. Нанети импрегнацију, основну боју и поставити ограду. Након уградње поправити основну боју, предкитовати и брусити и обојити два пута. 
</t>
  </si>
  <si>
    <t xml:space="preserve">Ограда </t>
  </si>
  <si>
    <t xml:space="preserve"> Једнокрилна капија око простора за одлагање смећа:
Ограда се састоји од металних топлоцинкованих панела, стубића и бетонског парапета д=20 цм. 3Д панелна ограда има избочине у облику слова В које сем естетског имају и функцију укрућења. Ширина панела од 42 до 250 цм. Дебљина жице 5 мм. Висина панела је 1230 мм. Панеле монтирати помоћу спојница на усадне стубове 50/50 мм. Стубове поставити у бетонски темељ ограде који је претходно изливен. Ограду израдити и уградити по шеми браварије. 
Поцинкована метална капија је у саставу панелне ограде. Капија је са једним крилом. Рам капије је 
од металних кутија са потребним профилима и дебљином у свему према упутству произвођача. На рам капије су причвршћени панели.
</t>
  </si>
  <si>
    <t>Бојење са глетовањем зидова.Малтерисане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</si>
  <si>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зид ограде</t>
  </si>
  <si>
    <t>зид око контејнера.</t>
  </si>
  <si>
    <t>УРБАНИ МОБИЛИЈАР И ОПРЕМА</t>
  </si>
  <si>
    <t>Набавка, испорука и монтажа парковских клупа као елемента урбаног мобилијара. Клупе ВИТТОРИА са дрвеним летвама. Конструкција клупе са стандардно направљеним страницама од бетона у светло сивој боји, са дрвеним летвама. Дрво ФСЦ-тврдо дрво, завршно обрађено премазом за спољашњу заштиту дрвета. Постављање: Самостојеће или у бетон анкер шрафовима. Клупе монтирати дуж шетних стаза и саобраћајница на међусобном растојању од 20м.
Или производ другог произвођача еквивалентних карактеристика
Обрачун по комаду.</t>
  </si>
  <si>
    <t>Набавка, испорука и монтажа парковских канти за ђубре као елемента урбаног мобилијара. Канте COROLAA. Конструкција канте са бетонском базом од пљоснатих челичних профила дебљине 10мм. Поставља се анкер шрафовима. Канте за ђубре монтирати дуж шетних стаза и саобраћајница на међусобном растојању од 20м.
Обрачун по комаду.</t>
  </si>
  <si>
    <t>ТОТАЛ3:</t>
  </si>
  <si>
    <t>уз  пројекат  ПАРТЕРНОГ УРЕЂЕЊА објекта " Прекршајни суд у Пожаревцу"  спратности П+2</t>
  </si>
  <si>
    <t>Модуларно прикључно место величине 4М које садржи:
- инсталациону кутију за уградњу у зид величине 4М
- носач механизама величине 4М
- пластични оквир у белој боји величине 4М
(Програм Легранд Мосаиц Или еквивалентан)</t>
  </si>
  <si>
    <t>Модуларна утичница величине 1М са оклопљеним модулом РЈ-45 категорије 5е. Модул спојити на xТП кабл и монтирати у већ уграђене инсталационе кутије и носаче 
(Програм Легранд Мосаиц Или еквивалентан)</t>
  </si>
  <si>
    <t>24-Порт 10/100/1000Мбпс Гигабит Лаyер 2 WебСмарт Сwитцх са 2x Цомбо 1000Басе-Т /СФП портова 
(Аллиед Телесис АТ-ГС950/24  или еквивалентан)</t>
  </si>
  <si>
    <t>3.16</t>
  </si>
  <si>
    <t>Преспојни кабл, СФ/УТП, 4П, ЛСФРЗХ, Цат 5е, РЈ45/с - РЈ45/с, 1,0м АWГ26 200МХз
(Р&amp;М кат.озн. Р802308 или еквивалентан)</t>
  </si>
  <si>
    <t>3.17</t>
  </si>
  <si>
    <t>3.18</t>
  </si>
  <si>
    <t>8-канални трибридни ХД-ТВИ дигитални снимач; Подржава до 8 ХД-ТВИ или аналогних камера (слободан избор) + 2 Хиквисион ИП камере (ФуллХД/25 фпс); Компресија Х.264; Брзина записа (укупно): 96 фпс@1080п/ 200 фпс@720п; Дуал стреам; Простор за 1 САТА ХДД (до 6ТВ); 4 аудио улаза/1 излаз; 8 алармних улаза/4 излаза; 2 УСБ порта; РС-485; 100Мбит ЛАН; ХДМИ/ВГА видео излази; Графички мени; ЦМС
софтwаре; Клијент за мобилне телефоне иВМС-4500 (иОС/ Андроид/WинМобиле); УСБ миш, без ХДД (ХИкВисион ДС-7208ХГХИСХ/А (Б) или еквивалентан)</t>
  </si>
  <si>
    <t>Напојни блок 12Вдц, 10 Ампера, 9 излаза, стабилисано централно напајање , осигурач и ЛЕД индикација за сваки канал, до 1.1 Амп за сваки канал. Самоуспостављање режима заштите и напајања
(XЕД-12012Л  или еквивалентан)</t>
  </si>
  <si>
    <t>PROTIVPROVALNI ALARMNI SISTEM</t>
  </si>
  <si>
    <t>јед. цена без ПДВ-а</t>
  </si>
  <si>
    <t>УКУПНО  без ПДВ-а</t>
  </si>
  <si>
    <t>УКУПНО  са ПДВ-ом</t>
  </si>
  <si>
    <t>јед. цена   са ПДВ-ом</t>
  </si>
  <si>
    <t xml:space="preserve">5.3 ОБРАЗАЦ СТРУКТУРЕ ЦЕНЕ - ПРЕДМЕР И ПРЕДРАЧУН  </t>
  </si>
  <si>
    <t>за јавну набавку радова у отвореном поступку – изградња зграде Прекршајног суда у Пожаревцу, редни број 16/2016</t>
  </si>
  <si>
    <t>датум</t>
  </si>
  <si>
    <t>___________________</t>
  </si>
  <si>
    <t>место</t>
  </si>
  <si>
    <t>М.П.</t>
  </si>
  <si>
    <t xml:space="preserve">потпис овлашћеног </t>
  </si>
  <si>
    <t>лица понуђача</t>
  </si>
  <si>
    <r>
      <rPr>
        <b/>
        <sz val="11"/>
        <color indexed="8"/>
        <rFont val="Times New Roman"/>
        <family val="1"/>
      </rPr>
      <t>Напомена</t>
    </r>
    <r>
      <rPr>
        <sz val="11"/>
        <color indexed="8"/>
        <rFont val="Times New Roman"/>
        <family val="1"/>
      </rPr>
      <t xml:space="preserve">: </t>
    </r>
    <r>
      <rPr>
        <sz val="11"/>
        <color indexed="8"/>
        <rFont val="Times New Roman"/>
        <family val="1"/>
      </rPr>
      <t xml:space="preserve">у случајевима где се наводи име и тип опреме додаје се: "или одговарајуће", у склaду са чланом 72. став 4.Закона о јавним набавкама (''Службени гласник РС'', бр. 124/12, 14/15 и 68/15).                                                                                                                                                             Упутство како да се попуни Образац структуре цене:
Предмер и предрачун - Образац структуре цене понуђач попуњава према следећем упутству:                                                                                             У колону "Цена по Ј.М. без ПДВ-а" понуђач уписује цену по јединици мере изражену у динарима без ПДВ-а, за сваку тражену позицију.
У све остале колоне унете су формуле које аутоматски израчунавају цену по јединици мере са обрачунатим ПДВ-ом, укупну цену без обрачунатог ПДВ-а и укупну цену са обрачунатим ПДВ-ом.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</si>
</sst>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000"/>
    <numFmt numFmtId="181" formatCode="0.000"/>
    <numFmt numFmtId="182" formatCode="#,##0.0000"/>
    <numFmt numFmtId="183" formatCode="0.000000"/>
    <numFmt numFmtId="184" formatCode="0.0"/>
    <numFmt numFmtId="185" formatCode="[$-281A]d\.\ mmmm\ yyyy"/>
    <numFmt numFmtId="186" formatCode="[$-409]dddd\,\ mmmm\ dd\,\ yyyy"/>
    <numFmt numFmtId="187" formatCode="[$-409]h:mm:ss\ AM/PM"/>
    <numFmt numFmtId="188" formatCode="#,##0.00\ &quot;Din.&quot;"/>
    <numFmt numFmtId="189" formatCode="#,##0.000"/>
    <numFmt numFmtId="190" formatCode="#,##0.00&quot;  &quot;"/>
    <numFmt numFmtId="191" formatCode="#,##0.00;[Red]#,##0.00"/>
    <numFmt numFmtId="192" formatCode="#"/>
    <numFmt numFmtId="193" formatCode="#.0"/>
    <numFmt numFmtId="194" formatCode="#.00"/>
  </numFmts>
  <fonts count="8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0"/>
    </font>
    <font>
      <b/>
      <sz val="9"/>
      <name val="Tahoma"/>
      <family val="0"/>
    </font>
    <font>
      <sz val="11"/>
      <name val="Arial"/>
      <family val="2"/>
    </font>
    <font>
      <sz val="10"/>
      <name val="Helvetica-L"/>
      <family val="2"/>
    </font>
    <font>
      <b/>
      <sz val="11"/>
      <name val="Arial"/>
      <family val="2"/>
    </font>
    <font>
      <b/>
      <sz val="10"/>
      <name val="Helvetica-L"/>
      <family val="0"/>
    </font>
    <font>
      <sz val="8"/>
      <name val="Arial"/>
      <family val="2"/>
    </font>
    <font>
      <b/>
      <sz val="11"/>
      <color indexed="8"/>
      <name val="Arial"/>
      <family val="2"/>
    </font>
    <font>
      <b/>
      <sz val="8"/>
      <name val="Arial"/>
      <family val="2"/>
    </font>
    <font>
      <b/>
      <sz val="12"/>
      <color indexed="8"/>
      <name val="Arial"/>
      <family val="2"/>
    </font>
    <font>
      <b/>
      <u val="single"/>
      <sz val="10"/>
      <name val="Arial"/>
      <family val="2"/>
    </font>
    <font>
      <b/>
      <vertAlign val="superscript"/>
      <sz val="10"/>
      <name val="Arial"/>
      <family val="2"/>
    </font>
    <font>
      <u val="single"/>
      <sz val="10"/>
      <name val="Arial"/>
      <family val="2"/>
    </font>
    <font>
      <b/>
      <sz val="10"/>
      <color indexed="8"/>
      <name val="Arial"/>
      <family val="2"/>
    </font>
    <font>
      <sz val="10"/>
      <color indexed="8"/>
      <name val="Arial"/>
      <family val="2"/>
    </font>
    <font>
      <i/>
      <sz val="10"/>
      <name val="Arial"/>
      <family val="2"/>
    </font>
    <font>
      <b/>
      <i/>
      <sz val="11"/>
      <name val="Arial"/>
      <family val="2"/>
    </font>
    <font>
      <b/>
      <i/>
      <sz val="10"/>
      <name val="Arial"/>
      <family val="2"/>
    </font>
    <font>
      <vertAlign val="superscript"/>
      <sz val="10"/>
      <name val="Arial"/>
      <family val="2"/>
    </font>
    <font>
      <b/>
      <sz val="9"/>
      <name val="Arial"/>
      <family val="2"/>
    </font>
    <font>
      <sz val="9"/>
      <name val="Arial"/>
      <family val="2"/>
    </font>
    <font>
      <sz val="9"/>
      <name val="Symbol"/>
      <family val="1"/>
    </font>
    <font>
      <sz val="11"/>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13"/>
      <name val="Arial"/>
      <family val="2"/>
    </font>
    <font>
      <sz val="10"/>
      <color indexed="40"/>
      <name val="Arial"/>
      <family val="2"/>
    </font>
    <font>
      <sz val="10"/>
      <color indexed="10"/>
      <name val="Arial"/>
      <family val="2"/>
    </font>
    <font>
      <b/>
      <sz val="10"/>
      <color indexed="10"/>
      <name val="Arial"/>
      <family val="2"/>
    </font>
    <font>
      <sz val="10"/>
      <color indexed="36"/>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00"/>
      <name val="Arial"/>
      <family val="2"/>
    </font>
    <font>
      <sz val="10"/>
      <color rgb="FF00B0F0"/>
      <name val="Arial"/>
      <family val="2"/>
    </font>
    <font>
      <sz val="10"/>
      <color rgb="FFFF0000"/>
      <name val="Arial"/>
      <family val="2"/>
    </font>
    <font>
      <b/>
      <sz val="10"/>
      <color rgb="FFFF0000"/>
      <name val="Arial"/>
      <family val="2"/>
    </font>
    <font>
      <b/>
      <sz val="10"/>
      <color theme="1"/>
      <name val="Arial"/>
      <family val="2"/>
    </font>
    <font>
      <sz val="10"/>
      <color theme="1"/>
      <name val="Arial"/>
      <family val="2"/>
    </font>
    <font>
      <sz val="10"/>
      <color rgb="FF7030A0"/>
      <name val="Arial"/>
      <family val="2"/>
    </font>
    <font>
      <sz val="10"/>
      <color rgb="FF0070C0"/>
      <name val="Arial"/>
      <family val="2"/>
    </font>
    <font>
      <sz val="11"/>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indexed="4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6" tint="0.39998000860214233"/>
        <bgColor indexed="64"/>
      </patternFill>
    </fill>
    <fill>
      <patternFill patternType="solid">
        <fgColor theme="2"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double">
        <color indexed="8"/>
      </right>
      <top style="thin">
        <color indexed="8"/>
      </top>
      <bottom style="thin">
        <color indexed="8"/>
      </bottom>
    </border>
    <border>
      <left style="thin"/>
      <right style="thin"/>
      <top style="thin"/>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0" fillId="0" borderId="0">
      <alignment/>
      <protection/>
    </xf>
  </cellStyleXfs>
  <cellXfs count="1257">
    <xf numFmtId="0" fontId="0" fillId="0" borderId="0" xfId="0" applyAlignment="1">
      <alignment/>
    </xf>
    <xf numFmtId="2" fontId="1" fillId="0" borderId="0" xfId="59" applyNumberFormat="1" applyFont="1" applyBorder="1" applyAlignment="1">
      <alignment vertical="top" wrapText="1"/>
      <protection/>
    </xf>
    <xf numFmtId="4" fontId="1" fillId="0" borderId="0" xfId="59" applyNumberFormat="1" applyFont="1" applyBorder="1" applyAlignment="1">
      <alignment horizontal="center"/>
      <protection/>
    </xf>
    <xf numFmtId="4" fontId="1" fillId="0" borderId="0" xfId="59" applyNumberFormat="1" applyFont="1" applyBorder="1" applyAlignment="1">
      <alignment horizontal="right"/>
      <protection/>
    </xf>
    <xf numFmtId="4" fontId="1" fillId="0" borderId="0" xfId="59" applyNumberFormat="1" applyFont="1" applyBorder="1" applyAlignment="1">
      <alignment horizontal="right" vertical="top"/>
      <protection/>
    </xf>
    <xf numFmtId="4" fontId="0" fillId="0" borderId="0" xfId="59" applyNumberFormat="1" applyFont="1" applyFill="1" applyBorder="1" applyAlignment="1">
      <alignment horizontal="center"/>
      <protection/>
    </xf>
    <xf numFmtId="4" fontId="0" fillId="0" borderId="10" xfId="59" applyNumberFormat="1" applyFont="1" applyBorder="1" applyAlignment="1">
      <alignment horizontal="center"/>
      <protection/>
    </xf>
    <xf numFmtId="4" fontId="0" fillId="0" borderId="10" xfId="59" applyNumberFormat="1" applyFont="1" applyBorder="1" applyAlignment="1">
      <alignment horizontal="right"/>
      <protection/>
    </xf>
    <xf numFmtId="4" fontId="0" fillId="0" borderId="10" xfId="59" applyNumberFormat="1" applyFont="1" applyBorder="1" applyAlignment="1">
      <alignment horizontal="right" vertical="top"/>
      <protection/>
    </xf>
    <xf numFmtId="4" fontId="5" fillId="33" borderId="11" xfId="59" applyNumberFormat="1" applyFont="1" applyFill="1" applyBorder="1" applyAlignment="1">
      <alignment horizontal="center"/>
      <protection/>
    </xf>
    <xf numFmtId="4" fontId="4" fillId="33" borderId="10" xfId="59" applyNumberFormat="1" applyFont="1" applyFill="1" applyBorder="1" applyAlignment="1">
      <alignment horizontal="right" vertical="top"/>
      <protection/>
    </xf>
    <xf numFmtId="0" fontId="5" fillId="0" borderId="0" xfId="59" applyFont="1" applyBorder="1" applyAlignment="1">
      <alignment horizontal="center"/>
      <protection/>
    </xf>
    <xf numFmtId="4" fontId="5" fillId="0" borderId="10" xfId="59" applyNumberFormat="1" applyFont="1" applyFill="1" applyBorder="1" applyAlignment="1">
      <alignment horizontal="right" vertical="top"/>
      <protection/>
    </xf>
    <xf numFmtId="2" fontId="5" fillId="0" borderId="12" xfId="59" applyNumberFormat="1" applyFont="1" applyFill="1" applyBorder="1" applyAlignment="1">
      <alignment vertical="top" wrapText="1"/>
      <protection/>
    </xf>
    <xf numFmtId="0" fontId="5" fillId="0" borderId="11" xfId="59" applyFont="1" applyBorder="1" applyAlignment="1">
      <alignment horizontal="center"/>
      <protection/>
    </xf>
    <xf numFmtId="2" fontId="5" fillId="0" borderId="12" xfId="0" applyNumberFormat="1" applyFont="1" applyFill="1" applyBorder="1" applyAlignment="1">
      <alignment wrapText="1"/>
    </xf>
    <xf numFmtId="4" fontId="5" fillId="0" borderId="0" xfId="59" applyNumberFormat="1" applyFont="1" applyBorder="1" applyAlignment="1">
      <alignment horizontal="right" vertical="top"/>
      <protection/>
    </xf>
    <xf numFmtId="2" fontId="5" fillId="0" borderId="0" xfId="59" applyNumberFormat="1" applyFont="1" applyBorder="1" applyAlignment="1">
      <alignment wrapText="1"/>
      <protection/>
    </xf>
    <xf numFmtId="0" fontId="4" fillId="33" borderId="11" xfId="0" applyFont="1" applyFill="1" applyBorder="1" applyAlignment="1">
      <alignment horizontal="left"/>
    </xf>
    <xf numFmtId="2" fontId="4" fillId="33" borderId="11" xfId="59" applyNumberFormat="1" applyFont="1" applyFill="1" applyBorder="1" applyAlignment="1">
      <alignment vertical="top" wrapText="1"/>
      <protection/>
    </xf>
    <xf numFmtId="2" fontId="5" fillId="0" borderId="12" xfId="59" applyNumberFormat="1" applyFont="1" applyFill="1" applyBorder="1" applyAlignment="1">
      <alignment vertical="top"/>
      <protection/>
    </xf>
    <xf numFmtId="0" fontId="1" fillId="34" borderId="10" xfId="0" applyNumberFormat="1" applyFont="1" applyFill="1" applyBorder="1" applyAlignment="1" applyProtection="1">
      <alignment horizontal="center"/>
      <protection/>
    </xf>
    <xf numFmtId="4" fontId="1" fillId="34" borderId="10" xfId="0" applyNumberFormat="1" applyFont="1" applyFill="1" applyBorder="1" applyAlignment="1" applyProtection="1">
      <alignment horizontal="center"/>
      <protection/>
    </xf>
    <xf numFmtId="4" fontId="5" fillId="0" borderId="11" xfId="59" applyNumberFormat="1" applyFont="1" applyBorder="1" applyAlignment="1">
      <alignment horizontal="right"/>
      <protection/>
    </xf>
    <xf numFmtId="4" fontId="5" fillId="0" borderId="10" xfId="59" applyNumberFormat="1" applyFont="1" applyFill="1" applyBorder="1" applyAlignment="1">
      <alignment horizontal="right"/>
      <protection/>
    </xf>
    <xf numFmtId="4" fontId="5" fillId="0" borderId="10" xfId="59" applyNumberFormat="1" applyFont="1" applyFill="1" applyBorder="1">
      <alignment/>
      <protection/>
    </xf>
    <xf numFmtId="0" fontId="0" fillId="0" borderId="0" xfId="59" applyFont="1" applyBorder="1" applyAlignment="1">
      <alignment horizontal="center"/>
      <protection/>
    </xf>
    <xf numFmtId="4" fontId="0" fillId="0" borderId="0" xfId="59" applyNumberFormat="1" applyFont="1" applyBorder="1" applyAlignment="1">
      <alignment horizontal="right"/>
      <protection/>
    </xf>
    <xf numFmtId="4" fontId="0" fillId="0" borderId="0" xfId="59" applyNumberFormat="1" applyFont="1" applyFill="1" applyBorder="1">
      <alignment/>
      <protection/>
    </xf>
    <xf numFmtId="4" fontId="0" fillId="0" borderId="0" xfId="0" applyNumberFormat="1" applyFont="1" applyFill="1" applyAlignment="1">
      <alignment/>
    </xf>
    <xf numFmtId="4" fontId="5" fillId="33" borderId="11" xfId="59" applyNumberFormat="1" applyFont="1" applyFill="1" applyBorder="1" applyAlignment="1">
      <alignment/>
      <protection/>
    </xf>
    <xf numFmtId="4" fontId="0" fillId="0" borderId="0" xfId="59" applyNumberFormat="1" applyFont="1" applyBorder="1" applyAlignment="1">
      <alignment horizontal="right" vertical="top"/>
      <protection/>
    </xf>
    <xf numFmtId="2" fontId="0" fillId="0" borderId="0" xfId="59" applyNumberFormat="1" applyFont="1" applyBorder="1" applyAlignment="1">
      <alignment wrapText="1"/>
      <protection/>
    </xf>
    <xf numFmtId="4" fontId="0" fillId="0" borderId="0" xfId="59" applyNumberFormat="1" applyFont="1" applyBorder="1">
      <alignment/>
      <protection/>
    </xf>
    <xf numFmtId="2" fontId="1" fillId="34" borderId="10" xfId="0" applyNumberFormat="1" applyFont="1" applyFill="1" applyBorder="1" applyAlignment="1" applyProtection="1">
      <alignment horizontal="center" vertical="top"/>
      <protection/>
    </xf>
    <xf numFmtId="0" fontId="1" fillId="34" borderId="10" xfId="0" applyNumberFormat="1" applyFont="1" applyFill="1" applyBorder="1" applyAlignment="1" applyProtection="1">
      <alignment horizontal="center" vertical="top" wrapText="1"/>
      <protection/>
    </xf>
    <xf numFmtId="4" fontId="5" fillId="0" borderId="0" xfId="59" applyNumberFormat="1" applyFont="1" applyBorder="1" applyAlignment="1">
      <alignment horizontal="right"/>
      <protection/>
    </xf>
    <xf numFmtId="4" fontId="4" fillId="0" borderId="0" xfId="59" applyNumberFormat="1" applyFont="1" applyFill="1" applyBorder="1">
      <alignment/>
      <protection/>
    </xf>
    <xf numFmtId="0" fontId="0" fillId="0" borderId="0" xfId="0" applyFont="1" applyAlignment="1">
      <alignment/>
    </xf>
    <xf numFmtId="0" fontId="0" fillId="0" borderId="0" xfId="0" applyFont="1" applyBorder="1" applyAlignment="1">
      <alignment/>
    </xf>
    <xf numFmtId="4" fontId="0" fillId="0" borderId="0" xfId="59" applyNumberFormat="1" applyFont="1" applyBorder="1" applyAlignment="1">
      <alignment/>
      <protection/>
    </xf>
    <xf numFmtId="2" fontId="0" fillId="0" borderId="0" xfId="59" applyNumberFormat="1" applyFont="1" applyBorder="1" applyAlignment="1">
      <alignment vertical="top" wrapText="1"/>
      <protection/>
    </xf>
    <xf numFmtId="4" fontId="0" fillId="0" borderId="0" xfId="0" applyNumberFormat="1" applyFont="1" applyBorder="1" applyAlignment="1">
      <alignment horizontal="right" vertical="top"/>
    </xf>
    <xf numFmtId="2" fontId="0" fillId="0" borderId="0" xfId="0" applyNumberFormat="1" applyFont="1" applyBorder="1" applyAlignment="1">
      <alignment wrapText="1"/>
    </xf>
    <xf numFmtId="4" fontId="0" fillId="0" borderId="0" xfId="0" applyNumberFormat="1" applyFont="1" applyAlignment="1">
      <alignment horizontal="right" vertical="top"/>
    </xf>
    <xf numFmtId="2" fontId="0" fillId="0" borderId="0" xfId="0" applyNumberFormat="1" applyFont="1" applyAlignment="1">
      <alignment wrapText="1"/>
    </xf>
    <xf numFmtId="4" fontId="0" fillId="0" borderId="0" xfId="0" applyNumberFormat="1" applyFont="1" applyAlignment="1">
      <alignment/>
    </xf>
    <xf numFmtId="4" fontId="1" fillId="0" borderId="0" xfId="59" applyNumberFormat="1" applyFont="1" applyBorder="1" applyAlignment="1">
      <alignment/>
      <protection/>
    </xf>
    <xf numFmtId="4" fontId="0" fillId="0" borderId="0" xfId="0" applyNumberFormat="1" applyFont="1" applyBorder="1" applyAlignment="1">
      <alignment/>
    </xf>
    <xf numFmtId="4" fontId="0" fillId="0" borderId="13" xfId="59" applyNumberFormat="1" applyFont="1" applyBorder="1" applyAlignment="1">
      <alignment horizontal="right" vertical="top"/>
      <protection/>
    </xf>
    <xf numFmtId="4" fontId="0" fillId="0" borderId="0" xfId="59" applyNumberFormat="1" applyFont="1" applyBorder="1" applyAlignment="1">
      <alignment horizontal="center"/>
      <protection/>
    </xf>
    <xf numFmtId="0" fontId="0" fillId="0" borderId="0" xfId="0" applyFont="1" applyBorder="1" applyAlignment="1">
      <alignment horizontal="center"/>
    </xf>
    <xf numFmtId="4" fontId="0" fillId="0" borderId="0" xfId="0" applyNumberFormat="1" applyFont="1" applyBorder="1" applyAlignment="1">
      <alignment horizontal="right"/>
    </xf>
    <xf numFmtId="0" fontId="0" fillId="0" borderId="0" xfId="0" applyFont="1" applyAlignment="1">
      <alignment horizontal="center"/>
    </xf>
    <xf numFmtId="4" fontId="0" fillId="0" borderId="0" xfId="0" applyNumberFormat="1" applyFont="1" applyAlignment="1">
      <alignment horizontal="right"/>
    </xf>
    <xf numFmtId="4" fontId="4" fillId="33" borderId="11" xfId="59" applyNumberFormat="1" applyFont="1" applyFill="1" applyBorder="1" applyAlignment="1">
      <alignment horizontal="right"/>
      <protection/>
    </xf>
    <xf numFmtId="2" fontId="0" fillId="0" borderId="11" xfId="59" applyNumberFormat="1" applyFont="1" applyBorder="1" applyAlignment="1">
      <alignment horizontal="justify" vertical="top"/>
      <protection/>
    </xf>
    <xf numFmtId="0" fontId="0" fillId="0" borderId="11" xfId="59" applyFont="1" applyBorder="1" applyAlignment="1">
      <alignment horizontal="center"/>
      <protection/>
    </xf>
    <xf numFmtId="4" fontId="0" fillId="0" borderId="11" xfId="59" applyNumberFormat="1" applyFont="1" applyBorder="1" applyAlignment="1">
      <alignment horizontal="right"/>
      <protection/>
    </xf>
    <xf numFmtId="4" fontId="0" fillId="0" borderId="11" xfId="59" applyNumberFormat="1" applyFont="1" applyBorder="1">
      <alignment/>
      <protection/>
    </xf>
    <xf numFmtId="2" fontId="0" fillId="0" borderId="10" xfId="0" applyNumberFormat="1" applyFont="1" applyFill="1" applyBorder="1" applyAlignment="1" applyProtection="1">
      <alignment horizontal="center" vertical="top"/>
      <protection/>
    </xf>
    <xf numFmtId="0" fontId="0" fillId="0" borderId="10" xfId="59" applyFont="1" applyBorder="1" applyAlignment="1">
      <alignment horizontal="center"/>
      <protection/>
    </xf>
    <xf numFmtId="2" fontId="0" fillId="0" borderId="10" xfId="59" applyNumberFormat="1" applyFont="1" applyBorder="1" applyAlignment="1">
      <alignment horizontal="right" vertical="top"/>
      <protection/>
    </xf>
    <xf numFmtId="2" fontId="0" fillId="0" borderId="10" xfId="59" applyNumberFormat="1" applyFont="1" applyBorder="1" applyAlignment="1">
      <alignment horizontal="justify" vertical="justify"/>
      <protection/>
    </xf>
    <xf numFmtId="2" fontId="0" fillId="0" borderId="10" xfId="59" applyNumberFormat="1" applyFont="1" applyBorder="1" applyAlignment="1">
      <alignment horizontal="justify" vertical="top"/>
      <protection/>
    </xf>
    <xf numFmtId="0" fontId="5" fillId="0" borderId="0" xfId="0" applyFont="1" applyAlignment="1">
      <alignment/>
    </xf>
    <xf numFmtId="0" fontId="0" fillId="0" borderId="0" xfId="0" applyFont="1" applyAlignment="1">
      <alignment/>
    </xf>
    <xf numFmtId="4" fontId="0" fillId="0" borderId="14" xfId="59" applyNumberFormat="1" applyFont="1" applyBorder="1" applyAlignment="1">
      <alignment horizontal="right" vertical="top"/>
      <protection/>
    </xf>
    <xf numFmtId="4" fontId="0" fillId="0" borderId="15" xfId="59" applyNumberFormat="1" applyFont="1" applyBorder="1" applyAlignment="1">
      <alignment horizontal="right" vertical="top"/>
      <protection/>
    </xf>
    <xf numFmtId="4" fontId="0" fillId="0" borderId="10" xfId="59" applyNumberFormat="1" applyFont="1" applyBorder="1" applyAlignment="1">
      <alignment/>
      <protection/>
    </xf>
    <xf numFmtId="4" fontId="0" fillId="0" borderId="14" xfId="59" applyNumberFormat="1" applyFont="1" applyFill="1" applyBorder="1" applyAlignment="1">
      <alignment horizontal="right" vertical="top"/>
      <protection/>
    </xf>
    <xf numFmtId="2" fontId="0" fillId="0" borderId="16" xfId="59" applyNumberFormat="1" applyFont="1" applyFill="1" applyBorder="1" applyAlignment="1">
      <alignment horizontal="justify" vertical="justify"/>
      <protection/>
    </xf>
    <xf numFmtId="0" fontId="5" fillId="0" borderId="0" xfId="0" applyFont="1" applyBorder="1" applyAlignment="1">
      <alignment/>
    </xf>
    <xf numFmtId="2" fontId="0" fillId="0" borderId="11" xfId="59" applyNumberFormat="1" applyFont="1" applyFill="1" applyBorder="1" applyAlignment="1">
      <alignment horizontal="justify" vertical="justify"/>
      <protection/>
    </xf>
    <xf numFmtId="4" fontId="0" fillId="0" borderId="10" xfId="59" applyNumberFormat="1" applyFont="1" applyFill="1" applyBorder="1" applyAlignment="1">
      <alignment horizontal="center"/>
      <protection/>
    </xf>
    <xf numFmtId="4" fontId="1" fillId="0" borderId="10" xfId="59" applyNumberFormat="1" applyFont="1" applyBorder="1" applyAlignment="1">
      <alignment horizontal="right" vertical="top"/>
      <protection/>
    </xf>
    <xf numFmtId="2" fontId="0" fillId="0" borderId="16" xfId="59" applyNumberFormat="1" applyFont="1" applyBorder="1" applyAlignment="1">
      <alignment horizontal="justify" vertical="top"/>
      <protection/>
    </xf>
    <xf numFmtId="0" fontId="0" fillId="0" borderId="10" xfId="0" applyFont="1" applyBorder="1" applyAlignment="1">
      <alignment horizontal="right" wrapText="1"/>
    </xf>
    <xf numFmtId="4" fontId="0" fillId="0" borderId="12" xfId="59" applyNumberFormat="1" applyFont="1" applyBorder="1" applyAlignment="1">
      <alignment horizontal="right" vertical="top"/>
      <protection/>
    </xf>
    <xf numFmtId="2" fontId="0" fillId="0" borderId="12" xfId="59" applyNumberFormat="1" applyFont="1" applyBorder="1" applyAlignment="1">
      <alignment horizontal="justify"/>
      <protection/>
    </xf>
    <xf numFmtId="2" fontId="0" fillId="0" borderId="11" xfId="59" applyNumberFormat="1" applyFont="1" applyFill="1" applyBorder="1" applyAlignment="1">
      <alignment horizontal="justify" vertical="top" wrapText="1"/>
      <protection/>
    </xf>
    <xf numFmtId="4" fontId="0" fillId="0" borderId="13" xfId="59" applyNumberFormat="1" applyFont="1" applyFill="1" applyBorder="1" applyAlignment="1">
      <alignment horizontal="right" vertical="top"/>
      <protection/>
    </xf>
    <xf numFmtId="4" fontId="0" fillId="0" borderId="10" xfId="59" applyNumberFormat="1" applyFont="1" applyFill="1" applyBorder="1" applyAlignment="1">
      <alignment horizontal="right"/>
      <protection/>
    </xf>
    <xf numFmtId="2" fontId="0" fillId="0" borderId="16" xfId="59" applyNumberFormat="1" applyFont="1" applyBorder="1" applyAlignment="1">
      <alignment horizontal="justify" vertical="justify" wrapText="1"/>
      <protection/>
    </xf>
    <xf numFmtId="4" fontId="0" fillId="0" borderId="10" xfId="0" applyNumberFormat="1" applyFont="1" applyBorder="1" applyAlignment="1">
      <alignment/>
    </xf>
    <xf numFmtId="2" fontId="0" fillId="0" borderId="10" xfId="59" applyNumberFormat="1" applyFont="1" applyBorder="1" applyAlignment="1">
      <alignment horizontal="justify" vertical="justify" wrapText="1"/>
      <protection/>
    </xf>
    <xf numFmtId="0" fontId="0" fillId="0" borderId="10" xfId="0" applyFont="1" applyBorder="1" applyAlignment="1">
      <alignment horizontal="center"/>
    </xf>
    <xf numFmtId="2" fontId="0" fillId="0" borderId="16" xfId="59" applyNumberFormat="1" applyFont="1" applyBorder="1" applyAlignment="1">
      <alignment horizontal="left" wrapText="1"/>
      <protection/>
    </xf>
    <xf numFmtId="2" fontId="0" fillId="0" borderId="16" xfId="59" applyNumberFormat="1" applyFont="1" applyBorder="1" applyAlignment="1">
      <alignment wrapText="1"/>
      <protection/>
    </xf>
    <xf numFmtId="4" fontId="0" fillId="0" borderId="10" xfId="0" applyNumberFormat="1" applyFont="1" applyBorder="1" applyAlignment="1">
      <alignment/>
    </xf>
    <xf numFmtId="2" fontId="0" fillId="0" borderId="16" xfId="59" applyNumberFormat="1" applyFont="1" applyBorder="1" applyAlignment="1">
      <alignment horizontal="right" wrapText="1"/>
      <protection/>
    </xf>
    <xf numFmtId="2" fontId="0" fillId="0" borderId="10" xfId="59" applyNumberFormat="1" applyFont="1" applyBorder="1" applyAlignment="1">
      <alignment/>
      <protection/>
    </xf>
    <xf numFmtId="4" fontId="0" fillId="0" borderId="16" xfId="59" applyNumberFormat="1" applyFont="1" applyBorder="1" applyAlignment="1">
      <alignment horizontal="center"/>
      <protection/>
    </xf>
    <xf numFmtId="2" fontId="0" fillId="0" borderId="10" xfId="59" applyNumberFormat="1" applyFont="1" applyBorder="1" applyAlignment="1">
      <alignment horizontal="right" wrapText="1"/>
      <protection/>
    </xf>
    <xf numFmtId="4" fontId="1" fillId="0" borderId="13" xfId="59" applyNumberFormat="1" applyFont="1" applyBorder="1" applyAlignment="1">
      <alignment horizontal="right" vertical="top"/>
      <protection/>
    </xf>
    <xf numFmtId="2" fontId="0" fillId="0" borderId="16" xfId="59" applyNumberFormat="1" applyFont="1" applyBorder="1" applyAlignment="1">
      <alignment horizontal="justify"/>
      <protection/>
    </xf>
    <xf numFmtId="2" fontId="0" fillId="0" borderId="16" xfId="59" applyNumberFormat="1" applyFont="1" applyBorder="1" applyAlignment="1">
      <alignment horizontal="right"/>
      <protection/>
    </xf>
    <xf numFmtId="2" fontId="0" fillId="0" borderId="0" xfId="0" applyNumberFormat="1" applyFont="1" applyBorder="1" applyAlignment="1">
      <alignment/>
    </xf>
    <xf numFmtId="2" fontId="0" fillId="0" borderId="0" xfId="59" applyNumberFormat="1" applyFont="1" applyBorder="1" applyAlignment="1">
      <alignment horizontal="center"/>
      <protection/>
    </xf>
    <xf numFmtId="2" fontId="5" fillId="0" borderId="0" xfId="0" applyNumberFormat="1" applyFont="1" applyBorder="1" applyAlignment="1">
      <alignment/>
    </xf>
    <xf numFmtId="2" fontId="0" fillId="0" borderId="0" xfId="0" applyNumberFormat="1" applyFont="1" applyAlignment="1">
      <alignment/>
    </xf>
    <xf numFmtId="0" fontId="0" fillId="0" borderId="10" xfId="0" applyFont="1" applyFill="1" applyBorder="1" applyAlignment="1">
      <alignment horizontal="center"/>
    </xf>
    <xf numFmtId="4" fontId="0" fillId="0" borderId="10" xfId="59" applyNumberFormat="1" applyFont="1" applyFill="1" applyBorder="1" applyAlignment="1">
      <alignment horizontal="right" vertical="top"/>
      <protection/>
    </xf>
    <xf numFmtId="4" fontId="0" fillId="0" borderId="10" xfId="59" applyNumberFormat="1" applyFont="1" applyFill="1" applyBorder="1" applyAlignment="1">
      <alignment vertical="top"/>
      <protection/>
    </xf>
    <xf numFmtId="2" fontId="0" fillId="0" borderId="10" xfId="59" applyNumberFormat="1" applyFont="1" applyFill="1" applyBorder="1" applyAlignment="1">
      <alignment wrapText="1"/>
      <protection/>
    </xf>
    <xf numFmtId="2" fontId="0" fillId="0" borderId="16" xfId="59" applyNumberFormat="1" applyFont="1" applyFill="1" applyBorder="1" applyAlignment="1">
      <alignment horizontal="justify" vertical="top"/>
      <protection/>
    </xf>
    <xf numFmtId="2" fontId="0" fillId="0" borderId="10" xfId="59" applyNumberFormat="1" applyFont="1" applyBorder="1" applyAlignment="1">
      <alignment wrapText="1"/>
      <protection/>
    </xf>
    <xf numFmtId="0" fontId="0" fillId="0" borderId="10" xfId="0" applyFont="1" applyBorder="1" applyAlignment="1">
      <alignment horizontal="justify" vertical="justify"/>
    </xf>
    <xf numFmtId="0" fontId="0" fillId="0" borderId="10" xfId="0" applyFont="1" applyBorder="1" applyAlignment="1">
      <alignment horizontal="justify" vertical="top"/>
    </xf>
    <xf numFmtId="2" fontId="0" fillId="0" borderId="10" xfId="59" applyNumberFormat="1" applyFont="1" applyBorder="1" applyAlignment="1">
      <alignment horizontal="right"/>
      <protection/>
    </xf>
    <xf numFmtId="4" fontId="0" fillId="0" borderId="10" xfId="59" applyNumberFormat="1" applyFont="1" applyBorder="1" applyAlignment="1" applyProtection="1">
      <alignment horizontal="right" vertical="top" wrapText="1"/>
      <protection locked="0"/>
    </xf>
    <xf numFmtId="2" fontId="0" fillId="0" borderId="10" xfId="59" applyNumberFormat="1" applyFont="1" applyBorder="1" applyAlignment="1" applyProtection="1">
      <alignment horizontal="justify" vertical="top" wrapText="1"/>
      <protection locked="0"/>
    </xf>
    <xf numFmtId="2" fontId="0" fillId="0" borderId="16" xfId="59" applyNumberFormat="1" applyFont="1" applyFill="1" applyBorder="1" applyAlignment="1">
      <alignment horizontal="justify" vertical="top" wrapText="1"/>
      <protection/>
    </xf>
    <xf numFmtId="4" fontId="0" fillId="0" borderId="17" xfId="59" applyNumberFormat="1" applyFont="1" applyBorder="1" applyAlignment="1">
      <alignment horizontal="right" vertical="top"/>
      <protection/>
    </xf>
    <xf numFmtId="2" fontId="0" fillId="0" borderId="11" xfId="59" applyNumberFormat="1" applyFont="1" applyBorder="1" applyAlignment="1">
      <alignment horizontal="justify"/>
      <protection/>
    </xf>
    <xf numFmtId="4" fontId="0" fillId="0" borderId="11" xfId="59" applyNumberFormat="1" applyFont="1" applyBorder="1" applyAlignment="1">
      <alignment horizontal="center"/>
      <protection/>
    </xf>
    <xf numFmtId="2" fontId="0" fillId="0" borderId="11" xfId="59" applyNumberFormat="1" applyFont="1" applyBorder="1" applyAlignment="1">
      <alignment horizontal="right"/>
      <protection/>
    </xf>
    <xf numFmtId="0" fontId="0" fillId="0" borderId="11" xfId="0" applyFont="1" applyBorder="1" applyAlignment="1">
      <alignment horizontal="justify" vertical="top"/>
    </xf>
    <xf numFmtId="2" fontId="0" fillId="0" borderId="11" xfId="59" applyNumberFormat="1" applyFont="1" applyFill="1" applyBorder="1" applyAlignment="1">
      <alignment horizontal="right" wrapText="1"/>
      <protection/>
    </xf>
    <xf numFmtId="0" fontId="0" fillId="0" borderId="11" xfId="0" applyFont="1" applyBorder="1" applyAlignment="1">
      <alignment wrapText="1"/>
    </xf>
    <xf numFmtId="4" fontId="0" fillId="0" borderId="11" xfId="0" applyNumberFormat="1" applyFont="1" applyBorder="1" applyAlignment="1">
      <alignment/>
    </xf>
    <xf numFmtId="4" fontId="0" fillId="0" borderId="11" xfId="59" applyNumberFormat="1" applyFont="1" applyFill="1" applyBorder="1" applyAlignment="1">
      <alignment horizontal="right"/>
      <protection/>
    </xf>
    <xf numFmtId="4" fontId="5" fillId="0" borderId="10" xfId="59" applyNumberFormat="1" applyFont="1" applyFill="1" applyBorder="1" applyAlignment="1">
      <alignment horizontal="left" vertical="top"/>
      <protection/>
    </xf>
    <xf numFmtId="4" fontId="5" fillId="0" borderId="12" xfId="59" applyNumberFormat="1" applyFont="1" applyFill="1" applyBorder="1" applyAlignment="1">
      <alignment horizontal="left" vertical="top"/>
      <protection/>
    </xf>
    <xf numFmtId="0" fontId="0" fillId="0" borderId="12" xfId="0" applyFont="1" applyBorder="1" applyAlignment="1">
      <alignment/>
    </xf>
    <xf numFmtId="0" fontId="0" fillId="0" borderId="10" xfId="0" applyFont="1" applyBorder="1" applyAlignment="1">
      <alignment/>
    </xf>
    <xf numFmtId="4" fontId="47" fillId="0" borderId="0" xfId="0" applyNumberFormat="1" applyFont="1" applyBorder="1" applyAlignment="1" applyProtection="1">
      <alignment wrapText="1"/>
      <protection/>
    </xf>
    <xf numFmtId="0" fontId="47" fillId="0" borderId="0" xfId="0" applyNumberFormat="1" applyFont="1" applyFill="1" applyBorder="1" applyAlignment="1" applyProtection="1">
      <alignment wrapText="1"/>
      <protection/>
    </xf>
    <xf numFmtId="0" fontId="47" fillId="0" borderId="0" xfId="0" applyNumberFormat="1" applyFont="1" applyAlignment="1" applyProtection="1">
      <alignment wrapText="1"/>
      <protection/>
    </xf>
    <xf numFmtId="2" fontId="0" fillId="0" borderId="16" xfId="59" applyNumberFormat="1" applyFont="1" applyFill="1" applyBorder="1" applyAlignment="1">
      <alignment horizontal="right" vertical="top"/>
      <protection/>
    </xf>
    <xf numFmtId="0" fontId="0" fillId="0" borderId="13" xfId="0" applyFont="1" applyBorder="1" applyAlignment="1">
      <alignment/>
    </xf>
    <xf numFmtId="2" fontId="0" fillId="0" borderId="11" xfId="59" applyNumberFormat="1" applyFont="1" applyFill="1" applyBorder="1" applyAlignment="1">
      <alignment horizontal="right" vertical="justify"/>
      <protection/>
    </xf>
    <xf numFmtId="2" fontId="0" fillId="0" borderId="16" xfId="59" applyNumberFormat="1" applyFont="1" applyFill="1" applyBorder="1" applyAlignment="1">
      <alignment horizontal="right" vertical="justify"/>
      <protection/>
    </xf>
    <xf numFmtId="2" fontId="0" fillId="0" borderId="10" xfId="0" applyNumberFormat="1" applyFont="1" applyBorder="1" applyAlignment="1">
      <alignment/>
    </xf>
    <xf numFmtId="4" fontId="0" fillId="0" borderId="12" xfId="59" applyNumberFormat="1" applyFont="1" applyBorder="1" applyAlignment="1">
      <alignment horizontal="center"/>
      <protection/>
    </xf>
    <xf numFmtId="2" fontId="0" fillId="0" borderId="16" xfId="59" applyNumberFormat="1" applyFont="1" applyBorder="1" applyAlignment="1">
      <alignment/>
      <protection/>
    </xf>
    <xf numFmtId="2" fontId="0" fillId="0" borderId="18" xfId="59" applyNumberFormat="1" applyFont="1" applyBorder="1" applyAlignment="1">
      <alignment horizontal="right"/>
      <protection/>
    </xf>
    <xf numFmtId="4" fontId="0" fillId="0" borderId="18" xfId="59" applyNumberFormat="1" applyFont="1" applyBorder="1" applyAlignment="1">
      <alignment horizontal="center"/>
      <protection/>
    </xf>
    <xf numFmtId="4" fontId="0" fillId="0" borderId="19" xfId="59" applyNumberFormat="1" applyFont="1" applyBorder="1" applyAlignment="1">
      <alignment horizontal="right" vertical="top"/>
      <protection/>
    </xf>
    <xf numFmtId="0" fontId="0" fillId="0" borderId="12" xfId="0" applyFont="1" applyBorder="1" applyAlignment="1">
      <alignment wrapText="1"/>
    </xf>
    <xf numFmtId="4" fontId="0" fillId="0" borderId="10" xfId="0" applyNumberFormat="1" applyFont="1" applyBorder="1" applyAlignment="1">
      <alignment horizontal="right"/>
    </xf>
    <xf numFmtId="0" fontId="47" fillId="0" borderId="12" xfId="0" applyNumberFormat="1" applyFont="1" applyBorder="1" applyAlignment="1" applyProtection="1">
      <alignment wrapText="1"/>
      <protection/>
    </xf>
    <xf numFmtId="0" fontId="47" fillId="0" borderId="10" xfId="0" applyNumberFormat="1" applyFont="1" applyBorder="1" applyAlignment="1" applyProtection="1">
      <alignment wrapText="1"/>
      <protection/>
    </xf>
    <xf numFmtId="0" fontId="0" fillId="0" borderId="11" xfId="0" applyFont="1" applyBorder="1" applyAlignment="1">
      <alignment horizontal="right" wrapText="1"/>
    </xf>
    <xf numFmtId="0" fontId="5" fillId="0" borderId="0" xfId="0" applyFont="1" applyBorder="1" applyAlignment="1">
      <alignment/>
    </xf>
    <xf numFmtId="0" fontId="0" fillId="0" borderId="0" xfId="0" applyFont="1" applyBorder="1" applyAlignment="1">
      <alignment/>
    </xf>
    <xf numFmtId="0" fontId="0" fillId="35" borderId="0" xfId="0" applyFont="1" applyFill="1" applyAlignment="1">
      <alignment/>
    </xf>
    <xf numFmtId="2" fontId="0" fillId="0" borderId="10" xfId="59" applyNumberFormat="1" applyFont="1" applyBorder="1" applyAlignment="1">
      <alignment horizontal="justify"/>
      <protection/>
    </xf>
    <xf numFmtId="4" fontId="4" fillId="0" borderId="12" xfId="59" applyNumberFormat="1" applyFont="1" applyFill="1" applyBorder="1" applyAlignment="1">
      <alignment horizontal="right" vertical="top"/>
      <protection/>
    </xf>
    <xf numFmtId="0" fontId="0" fillId="0" borderId="0" xfId="0" applyFont="1" applyFill="1" applyBorder="1" applyAlignment="1">
      <alignment/>
    </xf>
    <xf numFmtId="0" fontId="0" fillId="0" borderId="0" xfId="0" applyFont="1" applyFill="1" applyAlignment="1">
      <alignment/>
    </xf>
    <xf numFmtId="4" fontId="4" fillId="36" borderId="12" xfId="59" applyNumberFormat="1" applyFont="1" applyFill="1" applyBorder="1" applyAlignment="1">
      <alignment horizontal="right" vertical="top"/>
      <protection/>
    </xf>
    <xf numFmtId="0" fontId="0" fillId="36" borderId="13" xfId="57" applyFont="1" applyFill="1" applyBorder="1" applyAlignment="1">
      <alignment horizontal="left" wrapText="1"/>
      <protection/>
    </xf>
    <xf numFmtId="0" fontId="4" fillId="36" borderId="11" xfId="0" applyFont="1" applyFill="1" applyBorder="1" applyAlignment="1">
      <alignment horizontal="left"/>
    </xf>
    <xf numFmtId="4" fontId="4" fillId="36" borderId="11" xfId="59" applyNumberFormat="1" applyFont="1" applyFill="1" applyBorder="1" applyAlignment="1">
      <alignment/>
      <protection/>
    </xf>
    <xf numFmtId="4" fontId="4" fillId="36" borderId="10" xfId="59" applyNumberFormat="1" applyFont="1" applyFill="1" applyBorder="1" applyAlignment="1">
      <alignment horizontal="right"/>
      <protection/>
    </xf>
    <xf numFmtId="0" fontId="0" fillId="36" borderId="0" xfId="0" applyFont="1" applyFill="1" applyAlignment="1">
      <alignment/>
    </xf>
    <xf numFmtId="0" fontId="0" fillId="36" borderId="13" xfId="57" applyNumberFormat="1" applyFont="1" applyFill="1" applyBorder="1" applyAlignment="1">
      <alignment horizontal="left" wrapText="1"/>
      <protection/>
    </xf>
    <xf numFmtId="4" fontId="0" fillId="36" borderId="10" xfId="59" applyNumberFormat="1" applyFont="1" applyFill="1" applyBorder="1" applyAlignment="1">
      <alignment horizontal="center"/>
      <protection/>
    </xf>
    <xf numFmtId="4" fontId="0" fillId="36" borderId="10" xfId="59" applyNumberFormat="1" applyFont="1" applyFill="1" applyBorder="1" applyAlignment="1">
      <alignment horizontal="right"/>
      <protection/>
    </xf>
    <xf numFmtId="4" fontId="0" fillId="36" borderId="10" xfId="59" applyNumberFormat="1" applyFont="1" applyFill="1" applyBorder="1" applyAlignment="1">
      <alignment/>
      <protection/>
    </xf>
    <xf numFmtId="0" fontId="0" fillId="36" borderId="0" xfId="59" applyFont="1" applyFill="1" applyBorder="1" applyAlignment="1">
      <alignment horizontal="center"/>
      <protection/>
    </xf>
    <xf numFmtId="2" fontId="0" fillId="0" borderId="11" xfId="59" applyNumberFormat="1" applyFont="1" applyBorder="1" applyAlignment="1">
      <alignment horizontal="justify" vertical="top" wrapText="1"/>
      <protection/>
    </xf>
    <xf numFmtId="2" fontId="0" fillId="0" borderId="12" xfId="59" applyNumberFormat="1" applyFont="1" applyBorder="1" applyAlignment="1">
      <alignment horizontal="justify" vertical="top"/>
      <protection/>
    </xf>
    <xf numFmtId="184" fontId="0" fillId="0" borderId="12" xfId="59" applyNumberFormat="1" applyFont="1" applyBorder="1" applyAlignment="1">
      <alignment horizontal="justify" vertical="top" wrapText="1"/>
      <protection/>
    </xf>
    <xf numFmtId="0" fontId="0" fillId="0" borderId="0" xfId="59" applyFont="1">
      <alignment/>
      <protection/>
    </xf>
    <xf numFmtId="2" fontId="0" fillId="0" borderId="10" xfId="59" applyNumberFormat="1" applyFont="1" applyBorder="1" applyAlignment="1" applyProtection="1">
      <alignment horizontal="justify" vertical="justify"/>
      <protection locked="0"/>
    </xf>
    <xf numFmtId="0" fontId="0" fillId="0" borderId="0" xfId="59" applyFont="1" applyBorder="1">
      <alignment/>
      <protection/>
    </xf>
    <xf numFmtId="2" fontId="0" fillId="0" borderId="10" xfId="59" applyNumberFormat="1" applyFont="1" applyBorder="1" applyAlignment="1">
      <alignment horizontal="justify" vertical="top" wrapText="1"/>
      <protection/>
    </xf>
    <xf numFmtId="4" fontId="0" fillId="0" borderId="16" xfId="59" applyNumberFormat="1" applyFont="1" applyBorder="1" applyAlignment="1">
      <alignment horizontal="right" vertical="top"/>
      <protection/>
    </xf>
    <xf numFmtId="2" fontId="0" fillId="0" borderId="16" xfId="59" applyNumberFormat="1" applyFont="1" applyBorder="1" applyAlignment="1">
      <alignment horizontal="justify" vertical="justify"/>
      <protection/>
    </xf>
    <xf numFmtId="4" fontId="0" fillId="0" borderId="0" xfId="0" applyNumberFormat="1" applyFont="1" applyFill="1" applyBorder="1" applyAlignment="1">
      <alignment horizontal="center"/>
    </xf>
    <xf numFmtId="0" fontId="0" fillId="0" borderId="10" xfId="59" applyFont="1" applyFill="1" applyBorder="1" applyAlignment="1">
      <alignment horizontal="center"/>
      <protection/>
    </xf>
    <xf numFmtId="4" fontId="0" fillId="0" borderId="10" xfId="59" applyNumberFormat="1" applyFont="1" applyFill="1" applyBorder="1">
      <alignment/>
      <protection/>
    </xf>
    <xf numFmtId="0" fontId="0" fillId="0" borderId="12" xfId="59" applyFont="1" applyFill="1" applyBorder="1" applyAlignment="1">
      <alignment horizontal="center"/>
      <protection/>
    </xf>
    <xf numFmtId="4" fontId="0" fillId="0" borderId="12" xfId="59" applyNumberFormat="1" applyFont="1" applyFill="1" applyBorder="1" applyAlignment="1">
      <alignment horizontal="right"/>
      <protection/>
    </xf>
    <xf numFmtId="2" fontId="0" fillId="0" borderId="10" xfId="59" applyNumberFormat="1" applyFont="1" applyFill="1" applyBorder="1" applyAlignment="1">
      <alignment horizontal="justify" vertical="justify" wrapText="1"/>
      <protection/>
    </xf>
    <xf numFmtId="0" fontId="0" fillId="0" borderId="10" xfId="0" applyFont="1" applyFill="1" applyBorder="1" applyAlignment="1">
      <alignment/>
    </xf>
    <xf numFmtId="2" fontId="0" fillId="0" borderId="0" xfId="0" applyNumberFormat="1" applyFont="1" applyFill="1" applyBorder="1" applyAlignment="1">
      <alignment/>
    </xf>
    <xf numFmtId="0" fontId="0" fillId="0" borderId="12" xfId="0" applyFont="1" applyFill="1" applyBorder="1" applyAlignment="1">
      <alignment/>
    </xf>
    <xf numFmtId="2" fontId="0" fillId="0" borderId="16" xfId="59" applyNumberFormat="1" applyFont="1" applyFill="1" applyBorder="1" applyAlignment="1">
      <alignment horizontal="justify" vertical="justify" wrapText="1"/>
      <protection/>
    </xf>
    <xf numFmtId="4" fontId="0" fillId="0" borderId="12" xfId="59" applyNumberFormat="1" applyFont="1" applyFill="1" applyBorder="1" applyAlignment="1">
      <alignment/>
      <protection/>
    </xf>
    <xf numFmtId="4" fontId="0" fillId="0" borderId="10" xfId="59" applyNumberFormat="1" applyFont="1" applyFill="1" applyBorder="1" applyAlignment="1">
      <alignment/>
      <protection/>
    </xf>
    <xf numFmtId="2" fontId="0" fillId="0" borderId="0" xfId="59" applyNumberFormat="1" applyFont="1" applyFill="1" applyBorder="1" applyAlignment="1">
      <alignment vertical="top" wrapText="1"/>
      <protection/>
    </xf>
    <xf numFmtId="4" fontId="0" fillId="0" borderId="16"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top"/>
      <protection/>
    </xf>
    <xf numFmtId="4" fontId="0" fillId="0" borderId="10" xfId="0" applyNumberFormat="1" applyFont="1" applyFill="1" applyBorder="1" applyAlignment="1">
      <alignment horizontal="right"/>
    </xf>
    <xf numFmtId="4" fontId="0" fillId="0" borderId="16" xfId="59" applyNumberFormat="1" applyFont="1" applyBorder="1" applyAlignment="1">
      <alignment/>
      <protection/>
    </xf>
    <xf numFmtId="4" fontId="0" fillId="0" borderId="0" xfId="59" applyNumberFormat="1" applyFont="1" applyFill="1" applyBorder="1" applyAlignment="1">
      <alignment horizontal="right"/>
      <protection/>
    </xf>
    <xf numFmtId="2" fontId="0" fillId="0" borderId="10" xfId="59" applyNumberFormat="1" applyFont="1" applyFill="1" applyBorder="1" applyAlignment="1">
      <alignment horizontal="right" vertical="top"/>
      <protection/>
    </xf>
    <xf numFmtId="2" fontId="0" fillId="0" borderId="11" xfId="59" applyNumberFormat="1" applyFont="1" applyBorder="1" applyAlignment="1">
      <alignment horizontal="justify" vertical="justify"/>
      <protection/>
    </xf>
    <xf numFmtId="0" fontId="0" fillId="0" borderId="10" xfId="59" applyFont="1" applyBorder="1">
      <alignment/>
      <protection/>
    </xf>
    <xf numFmtId="4" fontId="0" fillId="0" borderId="10" xfId="59" applyNumberFormat="1" applyFont="1" applyBorder="1">
      <alignment/>
      <protection/>
    </xf>
    <xf numFmtId="0" fontId="0" fillId="0" borderId="12" xfId="59" applyFont="1" applyBorder="1">
      <alignment/>
      <protection/>
    </xf>
    <xf numFmtId="0" fontId="0" fillId="0" borderId="16" xfId="0" applyFont="1" applyBorder="1" applyAlignment="1">
      <alignment/>
    </xf>
    <xf numFmtId="0" fontId="0" fillId="0" borderId="15" xfId="0" applyFont="1" applyBorder="1" applyAlignment="1">
      <alignment/>
    </xf>
    <xf numFmtId="4" fontId="0" fillId="0" borderId="11" xfId="59" applyNumberFormat="1" applyFont="1" applyFill="1" applyBorder="1" applyAlignment="1">
      <alignment horizontal="center"/>
      <protection/>
    </xf>
    <xf numFmtId="2" fontId="0" fillId="0" borderId="11" xfId="59" applyNumberFormat="1" applyFont="1" applyFill="1" applyBorder="1" applyAlignment="1">
      <alignment wrapText="1"/>
      <protection/>
    </xf>
    <xf numFmtId="4" fontId="0" fillId="0" borderId="12" xfId="59" applyNumberFormat="1" applyFont="1" applyFill="1" applyBorder="1" applyAlignment="1">
      <alignment horizontal="center"/>
      <protection/>
    </xf>
    <xf numFmtId="2" fontId="0" fillId="0" borderId="12" xfId="59" applyNumberFormat="1" applyFont="1" applyFill="1" applyBorder="1" applyAlignment="1">
      <alignment wrapText="1"/>
      <protection/>
    </xf>
    <xf numFmtId="4" fontId="0" fillId="0" borderId="16" xfId="59" applyNumberFormat="1" applyFont="1" applyFill="1" applyBorder="1" applyAlignment="1">
      <alignment horizontal="right"/>
      <protection/>
    </xf>
    <xf numFmtId="2" fontId="0" fillId="0" borderId="11" xfId="59" applyNumberFormat="1" applyFont="1" applyBorder="1" applyAlignment="1">
      <alignment horizontal="justify" vertical="justify" wrapText="1"/>
      <protection/>
    </xf>
    <xf numFmtId="0" fontId="0" fillId="0" borderId="11" xfId="59" applyNumberFormat="1" applyFont="1" applyBorder="1" applyAlignment="1">
      <alignment horizontal="justify" vertical="top"/>
      <protection/>
    </xf>
    <xf numFmtId="0" fontId="0" fillId="0" borderId="16" xfId="0" applyFont="1" applyBorder="1" applyAlignment="1">
      <alignment wrapText="1"/>
    </xf>
    <xf numFmtId="2" fontId="0" fillId="0" borderId="16" xfId="59" applyNumberFormat="1" applyFont="1" applyFill="1" applyBorder="1" applyAlignment="1">
      <alignment horizontal="left" vertical="top" wrapText="1"/>
      <protection/>
    </xf>
    <xf numFmtId="2" fontId="0" fillId="0" borderId="10" xfId="59" applyNumberFormat="1" applyFont="1" applyFill="1" applyBorder="1" applyAlignment="1">
      <alignment/>
      <protection/>
    </xf>
    <xf numFmtId="4" fontId="0" fillId="0" borderId="15" xfId="0" applyNumberFormat="1" applyFont="1" applyBorder="1" applyAlignment="1">
      <alignment horizontal="right" vertical="top"/>
    </xf>
    <xf numFmtId="0" fontId="0" fillId="0" borderId="13" xfId="59" applyFont="1" applyBorder="1">
      <alignment/>
      <protection/>
    </xf>
    <xf numFmtId="0" fontId="0" fillId="0" borderId="16" xfId="0" applyFont="1" applyBorder="1" applyAlignment="1">
      <alignment horizontal="justify" vertical="top"/>
    </xf>
    <xf numFmtId="4" fontId="0" fillId="0" borderId="10" xfId="59" applyNumberFormat="1" applyFont="1" applyBorder="1" applyAlignment="1">
      <alignment horizontal="left"/>
      <protection/>
    </xf>
    <xf numFmtId="0" fontId="0" fillId="0" borderId="16" xfId="59" applyNumberFormat="1" applyFont="1" applyBorder="1" applyAlignment="1">
      <alignment wrapText="1"/>
      <protection/>
    </xf>
    <xf numFmtId="4" fontId="0" fillId="0" borderId="11" xfId="59" applyNumberFormat="1" applyFont="1" applyBorder="1" applyAlignment="1">
      <alignment/>
      <protection/>
    </xf>
    <xf numFmtId="2" fontId="0" fillId="0" borderId="10" xfId="59" applyNumberFormat="1" applyFont="1" applyBorder="1" applyAlignment="1">
      <alignment horizontal="left" wrapText="1"/>
      <protection/>
    </xf>
    <xf numFmtId="0" fontId="0" fillId="0" borderId="16" xfId="0" applyFont="1" applyBorder="1" applyAlignment="1">
      <alignment horizontal="justify" vertical="top" wrapText="1"/>
    </xf>
    <xf numFmtId="2" fontId="0" fillId="0" borderId="11" xfId="59" applyNumberFormat="1" applyFont="1" applyBorder="1" applyAlignment="1">
      <alignment horizontal="right" wrapText="1"/>
      <protection/>
    </xf>
    <xf numFmtId="0" fontId="0" fillId="0" borderId="11" xfId="0" applyFont="1" applyBorder="1" applyAlignment="1">
      <alignment/>
    </xf>
    <xf numFmtId="0" fontId="0" fillId="0" borderId="16" xfId="0" applyFont="1" applyBorder="1" applyAlignment="1">
      <alignment horizontal="justify" vertical="justify"/>
    </xf>
    <xf numFmtId="4" fontId="0" fillId="0" borderId="20" xfId="59" applyNumberFormat="1" applyFont="1" applyBorder="1" applyAlignment="1">
      <alignment horizontal="right" vertical="top"/>
      <protection/>
    </xf>
    <xf numFmtId="4" fontId="0" fillId="0" borderId="18" xfId="59" applyNumberFormat="1" applyFont="1" applyBorder="1" applyAlignment="1">
      <alignment horizontal="right" vertical="top"/>
      <protection/>
    </xf>
    <xf numFmtId="0" fontId="0" fillId="0" borderId="16" xfId="59" applyFont="1" applyBorder="1" applyAlignment="1">
      <alignment horizontal="center"/>
      <protection/>
    </xf>
    <xf numFmtId="2" fontId="0" fillId="0" borderId="21" xfId="59" applyNumberFormat="1" applyFont="1" applyBorder="1" applyAlignment="1">
      <alignment horizontal="justify"/>
      <protection/>
    </xf>
    <xf numFmtId="4" fontId="0" fillId="0" borderId="21" xfId="59" applyNumberFormat="1" applyFont="1" applyBorder="1" applyAlignment="1">
      <alignment horizontal="center"/>
      <protection/>
    </xf>
    <xf numFmtId="4" fontId="0" fillId="0" borderId="13" xfId="59" applyNumberFormat="1" applyFont="1" applyBorder="1" applyAlignment="1">
      <alignment/>
      <protection/>
    </xf>
    <xf numFmtId="0" fontId="0" fillId="0" borderId="13" xfId="0" applyNumberFormat="1" applyFont="1" applyBorder="1" applyAlignment="1" applyProtection="1">
      <alignment horizontal="right" vertical="top" wrapText="1"/>
      <protection/>
    </xf>
    <xf numFmtId="0" fontId="0" fillId="0" borderId="10" xfId="0" applyNumberFormat="1" applyFont="1" applyBorder="1" applyAlignment="1" applyProtection="1">
      <alignment horizontal="center" wrapText="1"/>
      <protection/>
    </xf>
    <xf numFmtId="4" fontId="0" fillId="0" borderId="10" xfId="0" applyNumberFormat="1" applyFont="1" applyFill="1" applyBorder="1" applyAlignment="1" applyProtection="1" quotePrefix="1">
      <alignment wrapText="1"/>
      <protection/>
    </xf>
    <xf numFmtId="0" fontId="0" fillId="0" borderId="14" xfId="0" applyNumberFormat="1" applyFont="1" applyBorder="1" applyAlignment="1" applyProtection="1">
      <alignment horizontal="center" wrapText="1"/>
      <protection/>
    </xf>
    <xf numFmtId="0" fontId="0" fillId="0" borderId="22" xfId="0" applyNumberFormat="1" applyFont="1" applyFill="1" applyBorder="1" applyAlignment="1" applyProtection="1">
      <alignment wrapText="1"/>
      <protection/>
    </xf>
    <xf numFmtId="0" fontId="0" fillId="0" borderId="15" xfId="0" applyNumberFormat="1" applyFont="1" applyBorder="1" applyAlignment="1" applyProtection="1">
      <alignment horizontal="center" wrapText="1"/>
      <protection/>
    </xf>
    <xf numFmtId="4" fontId="0" fillId="0" borderId="20" xfId="0" applyNumberFormat="1" applyFont="1" applyFill="1" applyBorder="1" applyAlignment="1" applyProtection="1" quotePrefix="1">
      <alignment wrapText="1"/>
      <protection/>
    </xf>
    <xf numFmtId="0" fontId="0" fillId="0" borderId="22" xfId="0" applyNumberFormat="1" applyFont="1" applyFill="1" applyBorder="1" applyAlignment="1" applyProtection="1">
      <alignment horizontal="right" wrapText="1"/>
      <protection/>
    </xf>
    <xf numFmtId="0" fontId="0" fillId="0" borderId="10" xfId="0" applyNumberFormat="1" applyFont="1" applyBorder="1" applyAlignment="1" applyProtection="1">
      <alignment horizontal="right" vertical="top" wrapText="1"/>
      <protection/>
    </xf>
    <xf numFmtId="0" fontId="0" fillId="0" borderId="13" xfId="0" applyFont="1" applyFill="1" applyBorder="1" applyAlignment="1">
      <alignment horizontal="justify" vertical="top" wrapText="1"/>
    </xf>
    <xf numFmtId="4" fontId="0" fillId="0" borderId="13" xfId="59" applyNumberFormat="1" applyFont="1" applyFill="1" applyBorder="1" applyAlignment="1">
      <alignment horizontal="center"/>
      <protection/>
    </xf>
    <xf numFmtId="4" fontId="0" fillId="0" borderId="13" xfId="0" applyNumberFormat="1" applyFont="1" applyFill="1" applyBorder="1" applyAlignment="1">
      <alignment/>
    </xf>
    <xf numFmtId="4" fontId="0" fillId="0" borderId="13" xfId="59" applyNumberFormat="1" applyFont="1" applyFill="1" applyBorder="1" applyAlignment="1">
      <alignment/>
      <protection/>
    </xf>
    <xf numFmtId="0" fontId="0" fillId="0" borderId="14" xfId="0" applyNumberFormat="1" applyFont="1" applyBorder="1" applyAlignment="1" applyProtection="1">
      <alignment vertical="justify" wrapText="1"/>
      <protection/>
    </xf>
    <xf numFmtId="0"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locked="0"/>
    </xf>
    <xf numFmtId="4" fontId="0" fillId="0" borderId="14" xfId="0" applyNumberFormat="1" applyFont="1" applyBorder="1" applyAlignment="1" applyProtection="1">
      <alignment wrapText="1"/>
      <protection/>
    </xf>
    <xf numFmtId="0" fontId="0" fillId="0" borderId="14" xfId="0" applyNumberFormat="1" applyFont="1" applyBorder="1" applyAlignment="1" applyProtection="1">
      <alignment wrapText="1"/>
      <protection/>
    </xf>
    <xf numFmtId="4" fontId="0" fillId="0" borderId="14" xfId="0" applyNumberFormat="1" applyFont="1" applyFill="1" applyBorder="1" applyAlignment="1" applyProtection="1" quotePrefix="1">
      <alignment wrapText="1"/>
      <protection/>
    </xf>
    <xf numFmtId="4" fontId="0" fillId="0" borderId="14" xfId="0" applyNumberFormat="1" applyFont="1" applyFill="1" applyBorder="1" applyAlignment="1" applyProtection="1">
      <alignment wrapText="1"/>
      <protection locked="0"/>
    </xf>
    <xf numFmtId="0" fontId="0" fillId="0" borderId="15" xfId="0" applyNumberFormat="1" applyFont="1" applyFill="1" applyBorder="1" applyAlignment="1" applyProtection="1">
      <alignment wrapText="1"/>
      <protection/>
    </xf>
    <xf numFmtId="4" fontId="0" fillId="0" borderId="15" xfId="0" applyNumberFormat="1" applyFont="1" applyFill="1" applyBorder="1" applyAlignment="1" applyProtection="1" quotePrefix="1">
      <alignment wrapText="1"/>
      <protection/>
    </xf>
    <xf numFmtId="4" fontId="0" fillId="0" borderId="15" xfId="0" applyNumberFormat="1" applyFont="1" applyFill="1" applyBorder="1" applyAlignment="1" applyProtection="1">
      <alignment wrapText="1"/>
      <protection locked="0"/>
    </xf>
    <xf numFmtId="4" fontId="0" fillId="0" borderId="15" xfId="0" applyNumberFormat="1" applyFont="1" applyBorder="1" applyAlignment="1" applyProtection="1">
      <alignment wrapText="1"/>
      <protection/>
    </xf>
    <xf numFmtId="0" fontId="0" fillId="0" borderId="20" xfId="0" applyNumberFormat="1" applyFont="1" applyFill="1" applyBorder="1" applyAlignment="1" applyProtection="1">
      <alignment wrapText="1"/>
      <protection/>
    </xf>
    <xf numFmtId="4" fontId="0" fillId="0" borderId="10" xfId="0" applyNumberFormat="1" applyFont="1" applyFill="1" applyBorder="1" applyAlignment="1" applyProtection="1">
      <alignment wrapText="1"/>
      <protection locked="0"/>
    </xf>
    <xf numFmtId="4" fontId="0" fillId="0" borderId="10" xfId="0" applyNumberFormat="1" applyFont="1" applyBorder="1" applyAlignment="1" applyProtection="1">
      <alignment wrapText="1"/>
      <protection/>
    </xf>
    <xf numFmtId="0" fontId="0" fillId="0" borderId="12" xfId="0" applyNumberFormat="1" applyFont="1" applyBorder="1" applyAlignment="1" applyProtection="1">
      <alignment horizontal="center" wrapText="1"/>
      <protection/>
    </xf>
    <xf numFmtId="0" fontId="0" fillId="0" borderId="12"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4" fontId="0" fillId="0" borderId="23"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justify"/>
      <protection/>
    </xf>
    <xf numFmtId="2" fontId="0" fillId="0" borderId="16" xfId="59" applyNumberFormat="1" applyFont="1" applyFill="1" applyBorder="1" applyAlignment="1">
      <alignment horizontal="right"/>
      <protection/>
    </xf>
    <xf numFmtId="0" fontId="0" fillId="0" borderId="10" xfId="0" applyFont="1" applyFill="1" applyBorder="1" applyAlignment="1">
      <alignment horizontal="justify" vertical="top"/>
    </xf>
    <xf numFmtId="4" fontId="0" fillId="0" borderId="12" xfId="59" applyNumberFormat="1" applyFont="1" applyFill="1" applyBorder="1" applyAlignment="1">
      <alignment horizontal="right" vertical="top"/>
      <protection/>
    </xf>
    <xf numFmtId="0" fontId="0" fillId="0" borderId="12" xfId="0" applyFont="1" applyFill="1" applyBorder="1" applyAlignment="1">
      <alignment horizontal="justify" vertical="top"/>
    </xf>
    <xf numFmtId="0" fontId="4" fillId="0" borderId="11" xfId="0" applyFont="1" applyFill="1" applyBorder="1" applyAlignment="1">
      <alignment horizontal="left"/>
    </xf>
    <xf numFmtId="4" fontId="4" fillId="0" borderId="11" xfId="59" applyNumberFormat="1" applyFont="1" applyFill="1" applyBorder="1" applyAlignment="1">
      <alignment/>
      <protection/>
    </xf>
    <xf numFmtId="4" fontId="4" fillId="0" borderId="10" xfId="59" applyNumberFormat="1" applyFont="1" applyFill="1" applyBorder="1" applyAlignment="1">
      <alignment horizontal="right"/>
      <protection/>
    </xf>
    <xf numFmtId="0" fontId="0" fillId="0" borderId="13" xfId="57" applyNumberFormat="1" applyFont="1" applyFill="1" applyBorder="1" applyAlignment="1">
      <alignment horizontal="left" wrapText="1"/>
      <protection/>
    </xf>
    <xf numFmtId="0" fontId="0" fillId="0" borderId="16" xfId="0" applyFont="1" applyBorder="1" applyAlignment="1">
      <alignment horizontal="right" vertical="justify"/>
    </xf>
    <xf numFmtId="2" fontId="0" fillId="0" borderId="16" xfId="59" applyNumberFormat="1" applyFont="1" applyFill="1" applyBorder="1" applyAlignment="1">
      <alignment horizontal="right" wrapText="1"/>
      <protection/>
    </xf>
    <xf numFmtId="0" fontId="0" fillId="0" borderId="11" xfId="0" applyFont="1" applyBorder="1" applyAlignment="1">
      <alignment horizontal="justify" vertical="justify"/>
    </xf>
    <xf numFmtId="0" fontId="0" fillId="0" borderId="0" xfId="59" applyFont="1" applyFill="1" applyBorder="1" applyAlignment="1">
      <alignment horizontal="center"/>
      <protection/>
    </xf>
    <xf numFmtId="2" fontId="0" fillId="0" borderId="10" xfId="59" applyNumberFormat="1" applyFont="1" applyFill="1" applyBorder="1" applyAlignment="1">
      <alignment horizontal="right" wrapText="1"/>
      <protection/>
    </xf>
    <xf numFmtId="2" fontId="1" fillId="0" borderId="0" xfId="59" applyNumberFormat="1" applyFont="1" applyFill="1" applyBorder="1" applyAlignment="1">
      <alignment vertical="top" wrapText="1"/>
      <protection/>
    </xf>
    <xf numFmtId="0" fontId="5" fillId="0" borderId="0" xfId="0" applyFont="1" applyFill="1" applyBorder="1" applyAlignment="1">
      <alignment/>
    </xf>
    <xf numFmtId="0" fontId="0" fillId="0" borderId="0" xfId="59" applyFont="1" applyAlignment="1">
      <alignment horizontal="center"/>
      <protection/>
    </xf>
    <xf numFmtId="4" fontId="0" fillId="0" borderId="11" xfId="0" applyNumberFormat="1" applyFont="1" applyFill="1" applyBorder="1" applyAlignment="1">
      <alignment horizontal="center"/>
    </xf>
    <xf numFmtId="0" fontId="0" fillId="0" borderId="24" xfId="0" applyFont="1" applyBorder="1" applyAlignment="1">
      <alignment/>
    </xf>
    <xf numFmtId="2" fontId="0" fillId="0" borderId="0" xfId="59" applyNumberFormat="1" applyFont="1">
      <alignment/>
      <protection/>
    </xf>
    <xf numFmtId="2" fontId="0" fillId="0" borderId="11" xfId="59" applyNumberFormat="1" applyFont="1" applyBorder="1" applyAlignment="1">
      <alignment horizontal="right" vertical="top"/>
      <protection/>
    </xf>
    <xf numFmtId="2" fontId="0" fillId="0" borderId="11" xfId="59" applyNumberFormat="1" applyFont="1" applyFill="1" applyBorder="1" applyAlignment="1">
      <alignment/>
      <protection/>
    </xf>
    <xf numFmtId="0" fontId="0" fillId="0" borderId="21" xfId="59" applyFont="1" applyBorder="1">
      <alignment/>
      <protection/>
    </xf>
    <xf numFmtId="0" fontId="0" fillId="0" borderId="20" xfId="59" applyFont="1" applyBorder="1">
      <alignment/>
      <protection/>
    </xf>
    <xf numFmtId="0" fontId="0" fillId="0" borderId="23" xfId="0" applyNumberFormat="1" applyFont="1" applyBorder="1" applyAlignment="1" applyProtection="1">
      <alignment horizontal="center" wrapText="1"/>
      <protection/>
    </xf>
    <xf numFmtId="4" fontId="48" fillId="0" borderId="0" xfId="0" applyNumberFormat="1" applyFont="1" applyBorder="1" applyAlignment="1" applyProtection="1">
      <alignment horizontal="center" vertical="top" wrapText="1"/>
      <protection/>
    </xf>
    <xf numFmtId="4" fontId="47" fillId="0" borderId="0" xfId="0" applyNumberFormat="1" applyFont="1" applyFill="1" applyBorder="1" applyAlignment="1" applyProtection="1" quotePrefix="1">
      <alignment wrapText="1"/>
      <protection/>
    </xf>
    <xf numFmtId="4" fontId="0" fillId="36" borderId="12" xfId="59" applyNumberFormat="1" applyFont="1" applyFill="1" applyBorder="1" applyAlignment="1">
      <alignment horizontal="right" vertical="top"/>
      <protection/>
    </xf>
    <xf numFmtId="0" fontId="0" fillId="0" borderId="16" xfId="0" applyFont="1" applyBorder="1" applyAlignment="1">
      <alignment vertical="top"/>
    </xf>
    <xf numFmtId="0" fontId="0" fillId="0" borderId="0" xfId="59" applyFont="1" applyAlignment="1">
      <alignment vertical="top"/>
      <protection/>
    </xf>
    <xf numFmtId="2" fontId="0" fillId="0" borderId="10" xfId="59" applyNumberFormat="1" applyFont="1" applyFill="1" applyBorder="1" applyAlignment="1">
      <alignment horizontal="right"/>
      <protection/>
    </xf>
    <xf numFmtId="0" fontId="0" fillId="0" borderId="16" xfId="0" applyFont="1" applyFill="1" applyBorder="1" applyAlignment="1">
      <alignment horizontal="justify" vertical="justify"/>
    </xf>
    <xf numFmtId="4" fontId="5" fillId="0" borderId="0" xfId="0" applyNumberFormat="1" applyFont="1" applyAlignment="1">
      <alignment horizontal="center" vertical="top" wrapTex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72" fillId="0" borderId="0" xfId="0" applyFont="1" applyAlignment="1">
      <alignment horizontal="center"/>
    </xf>
    <xf numFmtId="4" fontId="0" fillId="0" borderId="0" xfId="0" applyNumberFormat="1" applyFont="1" applyFill="1" applyBorder="1" applyAlignment="1">
      <alignment/>
    </xf>
    <xf numFmtId="4" fontId="0" fillId="0" borderId="0" xfId="0" applyNumberFormat="1" applyBorder="1" applyAlignment="1">
      <alignment/>
    </xf>
    <xf numFmtId="0" fontId="73" fillId="0" borderId="0" xfId="0" applyFont="1" applyAlignment="1">
      <alignment/>
    </xf>
    <xf numFmtId="0" fontId="72" fillId="0" borderId="0" xfId="59" applyFont="1" applyBorder="1" applyAlignment="1">
      <alignment horizontal="center"/>
      <protection/>
    </xf>
    <xf numFmtId="4" fontId="73" fillId="0" borderId="0" xfId="0" applyNumberFormat="1" applyFont="1" applyFill="1" applyBorder="1" applyAlignment="1">
      <alignment/>
    </xf>
    <xf numFmtId="0" fontId="73" fillId="0" borderId="0" xfId="0" applyFont="1" applyFill="1" applyBorder="1" applyAlignment="1">
      <alignment/>
    </xf>
    <xf numFmtId="4" fontId="0" fillId="0" borderId="0" xfId="0" applyNumberFormat="1" applyFill="1" applyBorder="1" applyAlignment="1">
      <alignment/>
    </xf>
    <xf numFmtId="0" fontId="0" fillId="0" borderId="0" xfId="0" applyFill="1" applyBorder="1" applyAlignment="1">
      <alignment/>
    </xf>
    <xf numFmtId="1" fontId="0" fillId="0" borderId="0" xfId="0" applyNumberFormat="1" applyFont="1" applyFill="1" applyAlignment="1">
      <alignment/>
    </xf>
    <xf numFmtId="0" fontId="0" fillId="0" borderId="0" xfId="0" applyFont="1" applyFill="1" applyAlignment="1" applyProtection="1">
      <alignment horizontal="justify" vertical="top" wrapText="1"/>
      <protection/>
    </xf>
    <xf numFmtId="0" fontId="72" fillId="0" borderId="0" xfId="0" applyFont="1" applyFill="1" applyAlignment="1" applyProtection="1">
      <alignment horizontal="center" vertical="top"/>
      <protection/>
    </xf>
    <xf numFmtId="4" fontId="0" fillId="0" borderId="0" xfId="0" applyNumberFormat="1" applyAlignment="1">
      <alignment/>
    </xf>
    <xf numFmtId="0" fontId="72" fillId="0" borderId="0" xfId="0" applyFont="1" applyFill="1" applyAlignment="1">
      <alignment horizontal="center"/>
    </xf>
    <xf numFmtId="0" fontId="0" fillId="0" borderId="0" xfId="0" applyFill="1" applyAlignment="1">
      <alignment/>
    </xf>
    <xf numFmtId="0" fontId="0" fillId="0" borderId="0" xfId="0" applyFont="1" applyFill="1" applyAlignment="1" applyProtection="1">
      <alignment horizontal="center" vertical="top" wrapText="1"/>
      <protection/>
    </xf>
    <xf numFmtId="0" fontId="73" fillId="0" borderId="0" xfId="0" applyFont="1" applyFill="1" applyAlignment="1" applyProtection="1">
      <alignment horizontal="justify" vertical="top" wrapText="1"/>
      <protection/>
    </xf>
    <xf numFmtId="0" fontId="73" fillId="0" borderId="0" xfId="0" applyFont="1" applyFill="1" applyAlignment="1">
      <alignment/>
    </xf>
    <xf numFmtId="4" fontId="72" fillId="0" borderId="0" xfId="0" applyNumberFormat="1" applyFont="1" applyFill="1" applyBorder="1" applyAlignment="1">
      <alignment horizontal="center"/>
    </xf>
    <xf numFmtId="0" fontId="72" fillId="0" borderId="0" xfId="0" applyFont="1" applyFill="1" applyAlignment="1" applyProtection="1">
      <alignment horizontal="center"/>
      <protection/>
    </xf>
    <xf numFmtId="0" fontId="72" fillId="0" borderId="0" xfId="0" applyFont="1" applyFill="1" applyBorder="1" applyAlignment="1">
      <alignment horizontal="center"/>
    </xf>
    <xf numFmtId="0" fontId="0" fillId="0" borderId="0" xfId="0" applyFont="1" applyAlignment="1" applyProtection="1">
      <alignment horizontal="justify" vertical="top" wrapText="1"/>
      <protection/>
    </xf>
    <xf numFmtId="0" fontId="74" fillId="0" borderId="0" xfId="0" applyFont="1" applyAlignment="1">
      <alignment/>
    </xf>
    <xf numFmtId="0" fontId="72" fillId="0" borderId="0" xfId="0" applyFont="1" applyBorder="1" applyAlignment="1">
      <alignment horizontal="center"/>
    </xf>
    <xf numFmtId="0" fontId="0" fillId="0" borderId="0" xfId="0" applyFont="1" applyAlignment="1">
      <alignment vertical="top"/>
    </xf>
    <xf numFmtId="0" fontId="0" fillId="0" borderId="0" xfId="0" applyBorder="1" applyAlignment="1">
      <alignment/>
    </xf>
    <xf numFmtId="0" fontId="0" fillId="0" borderId="0" xfId="0" applyFont="1" applyAlignment="1" applyProtection="1">
      <alignment horizontal="center" vertical="top" wrapText="1"/>
      <protection/>
    </xf>
    <xf numFmtId="0" fontId="72" fillId="0" borderId="0" xfId="59" applyFont="1" applyFill="1" applyBorder="1" applyAlignment="1">
      <alignment horizontal="center"/>
      <protection/>
    </xf>
    <xf numFmtId="0" fontId="72" fillId="0" borderId="0" xfId="0" applyFont="1" applyAlignment="1">
      <alignment/>
    </xf>
    <xf numFmtId="1" fontId="0" fillId="0" borderId="0" xfId="57" applyNumberFormat="1">
      <alignment/>
      <protection/>
    </xf>
    <xf numFmtId="0" fontId="0" fillId="0" borderId="0" xfId="57">
      <alignment/>
      <protection/>
    </xf>
    <xf numFmtId="1" fontId="1" fillId="0" borderId="0" xfId="57" applyNumberFormat="1" applyFont="1">
      <alignment/>
      <protection/>
    </xf>
    <xf numFmtId="0" fontId="11" fillId="0" borderId="0" xfId="57" applyFont="1" applyFill="1" applyBorder="1" applyAlignment="1">
      <alignment horizontal="center"/>
      <protection/>
    </xf>
    <xf numFmtId="0" fontId="1" fillId="0" borderId="0" xfId="57" applyNumberFormat="1" applyFont="1" applyFill="1" applyBorder="1" applyAlignment="1">
      <alignment horizontal="left" vertical="top"/>
      <protection/>
    </xf>
    <xf numFmtId="4" fontId="1" fillId="0" borderId="0" xfId="57" applyNumberFormat="1" applyFont="1" applyFill="1" applyBorder="1">
      <alignment/>
      <protection/>
    </xf>
    <xf numFmtId="1" fontId="0" fillId="0" borderId="0" xfId="57" applyNumberFormat="1" applyFill="1">
      <alignment/>
      <protection/>
    </xf>
    <xf numFmtId="0" fontId="0" fillId="0" borderId="0" xfId="57" applyFill="1">
      <alignment/>
      <protection/>
    </xf>
    <xf numFmtId="49" fontId="12" fillId="0" borderId="25" xfId="0" applyNumberFormat="1" applyFont="1" applyFill="1" applyBorder="1" applyAlignment="1">
      <alignment horizontal="center" vertical="top" wrapText="1"/>
    </xf>
    <xf numFmtId="1" fontId="12" fillId="0" borderId="25"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2" fillId="0" borderId="25" xfId="0" applyNumberFormat="1" applyFont="1" applyFill="1" applyBorder="1" applyAlignment="1">
      <alignment horizontal="justify" vertical="center" wrapText="1"/>
    </xf>
    <xf numFmtId="49" fontId="12" fillId="0" borderId="25" xfId="0" applyNumberFormat="1" applyFont="1" applyFill="1" applyBorder="1" applyAlignment="1">
      <alignment horizontal="center" wrapText="1"/>
    </xf>
    <xf numFmtId="0" fontId="4" fillId="0" borderId="26" xfId="0" applyFont="1" applyBorder="1" applyAlignment="1">
      <alignment vertical="top"/>
    </xf>
    <xf numFmtId="0" fontId="4" fillId="0" borderId="26" xfId="0" applyFont="1" applyBorder="1" applyAlignment="1">
      <alignment vertical="top" shrinkToFit="1"/>
    </xf>
    <xf numFmtId="0" fontId="4" fillId="0" borderId="26" xfId="0" applyFont="1" applyBorder="1" applyAlignment="1">
      <alignment/>
    </xf>
    <xf numFmtId="190" fontId="4" fillId="0" borderId="26" xfId="0" applyNumberFormat="1" applyFont="1" applyBorder="1" applyAlignment="1">
      <alignment/>
    </xf>
    <xf numFmtId="190" fontId="4" fillId="0" borderId="26" xfId="0" applyNumberFormat="1" applyFont="1" applyBorder="1" applyAlignment="1">
      <alignment horizontal="right"/>
    </xf>
    <xf numFmtId="0" fontId="0" fillId="0" borderId="0" xfId="0" applyFont="1" applyFill="1" applyBorder="1" applyAlignment="1">
      <alignment/>
    </xf>
    <xf numFmtId="0" fontId="10" fillId="0" borderId="25" xfId="0" applyFont="1" applyBorder="1" applyAlignment="1">
      <alignment vertical="top"/>
    </xf>
    <xf numFmtId="0" fontId="0" fillId="0" borderId="27" xfId="0" applyBorder="1" applyAlignment="1">
      <alignment horizontal="justify" vertical="top" wrapText="1" shrinkToFit="1"/>
    </xf>
    <xf numFmtId="0" fontId="0" fillId="0" borderId="25" xfId="0" applyFont="1" applyBorder="1" applyAlignment="1">
      <alignment horizontal="center"/>
    </xf>
    <xf numFmtId="190" fontId="0" fillId="0" borderId="25" xfId="0" applyNumberFormat="1" applyFont="1" applyBorder="1" applyAlignment="1">
      <alignment/>
    </xf>
    <xf numFmtId="190" fontId="0" fillId="0" borderId="25" xfId="0" applyNumberFormat="1" applyFont="1" applyBorder="1" applyAlignment="1">
      <alignment horizontal="right"/>
    </xf>
    <xf numFmtId="0" fontId="0" fillId="0" borderId="25" xfId="0" applyBorder="1" applyAlignment="1">
      <alignment horizontal="justify" vertical="top" wrapText="1" shrinkToFit="1"/>
    </xf>
    <xf numFmtId="0" fontId="10" fillId="0" borderId="28" xfId="0" applyFont="1" applyBorder="1" applyAlignment="1">
      <alignment vertical="top"/>
    </xf>
    <xf numFmtId="1" fontId="1" fillId="37" borderId="27" xfId="0" applyNumberFormat="1" applyFont="1" applyFill="1" applyBorder="1" applyAlignment="1">
      <alignment vertical="center" wrapText="1"/>
    </xf>
    <xf numFmtId="0" fontId="1" fillId="37" borderId="29"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Border="1" applyAlignment="1">
      <alignment vertical="top"/>
    </xf>
    <xf numFmtId="0" fontId="5" fillId="0" borderId="0" xfId="0" applyFont="1" applyBorder="1" applyAlignment="1">
      <alignment horizontal="justify" vertical="top" wrapText="1" shrinkToFit="1"/>
    </xf>
    <xf numFmtId="0" fontId="5" fillId="0" borderId="0" xfId="0" applyFont="1" applyBorder="1" applyAlignment="1">
      <alignment horizontal="center"/>
    </xf>
    <xf numFmtId="190" fontId="5" fillId="0" borderId="0" xfId="0" applyNumberFormat="1" applyFont="1" applyBorder="1" applyAlignment="1">
      <alignment/>
    </xf>
    <xf numFmtId="190" fontId="4" fillId="0" borderId="30" xfId="0" applyNumberFormat="1" applyFont="1" applyBorder="1" applyAlignment="1">
      <alignment horizontal="right"/>
    </xf>
    <xf numFmtId="49" fontId="4" fillId="0" borderId="31" xfId="0" applyNumberFormat="1" applyFont="1" applyFill="1" applyBorder="1" applyAlignment="1">
      <alignment horizontal="center" vertical="top" wrapText="1"/>
    </xf>
    <xf numFmtId="49" fontId="1" fillId="0" borderId="25" xfId="0" applyNumberFormat="1" applyFont="1" applyFill="1" applyBorder="1" applyAlignment="1">
      <alignment horizontal="center" vertical="top" wrapText="1"/>
    </xf>
    <xf numFmtId="4" fontId="0" fillId="0" borderId="32" xfId="0" applyNumberFormat="1" applyFill="1" applyBorder="1" applyAlignment="1">
      <alignment horizontal="justify" vertical="top" wrapText="1"/>
    </xf>
    <xf numFmtId="0" fontId="0" fillId="0" borderId="32" xfId="0" applyFont="1" applyBorder="1" applyAlignment="1">
      <alignment horizontal="center"/>
    </xf>
    <xf numFmtId="1" fontId="0" fillId="0" borderId="32" xfId="0" applyNumberFormat="1" applyFont="1" applyBorder="1" applyAlignment="1">
      <alignment horizontal="center"/>
    </xf>
    <xf numFmtId="191" fontId="0" fillId="0" borderId="32" xfId="0" applyNumberFormat="1" applyFont="1" applyBorder="1" applyAlignment="1">
      <alignment/>
    </xf>
    <xf numFmtId="4" fontId="0" fillId="0" borderId="32" xfId="0" applyNumberFormat="1" applyFont="1" applyBorder="1" applyAlignment="1">
      <alignment/>
    </xf>
    <xf numFmtId="4" fontId="0" fillId="0" borderId="25" xfId="0" applyNumberFormat="1" applyFill="1" applyBorder="1" applyAlignment="1">
      <alignment horizontal="justify" vertical="top" wrapText="1"/>
    </xf>
    <xf numFmtId="4" fontId="15" fillId="37" borderId="33" xfId="0" applyNumberFormat="1" applyFont="1" applyFill="1" applyBorder="1" applyAlignment="1">
      <alignment/>
    </xf>
    <xf numFmtId="0" fontId="1" fillId="0" borderId="0" xfId="0" applyFont="1" applyFill="1" applyBorder="1" applyAlignment="1">
      <alignment vertical="center"/>
    </xf>
    <xf numFmtId="49" fontId="1"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1"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32" xfId="0" applyBorder="1" applyAlignment="1">
      <alignment horizontal="justify" vertical="top" wrapText="1"/>
    </xf>
    <xf numFmtId="0" fontId="0" fillId="0" borderId="32" xfId="0" applyFont="1" applyFill="1" applyBorder="1" applyAlignment="1">
      <alignment horizontal="center"/>
    </xf>
    <xf numFmtId="1" fontId="0" fillId="0" borderId="32" xfId="0" applyNumberFormat="1" applyFont="1" applyFill="1" applyBorder="1" applyAlignment="1">
      <alignment horizontal="right"/>
    </xf>
    <xf numFmtId="4" fontId="0" fillId="0" borderId="32" xfId="0" applyNumberFormat="1" applyFont="1" applyFill="1" applyBorder="1" applyAlignment="1">
      <alignment horizontal="right"/>
    </xf>
    <xf numFmtId="4" fontId="0" fillId="0" borderId="34" xfId="0" applyNumberFormat="1" applyFont="1" applyFill="1" applyBorder="1" applyAlignment="1">
      <alignment horizontal="right"/>
    </xf>
    <xf numFmtId="0" fontId="0" fillId="0" borderId="25" xfId="0" applyBorder="1" applyAlignment="1">
      <alignment horizontal="justify" vertical="top" wrapText="1"/>
    </xf>
    <xf numFmtId="0" fontId="0" fillId="0" borderId="25" xfId="0" applyFont="1" applyFill="1" applyBorder="1" applyAlignment="1">
      <alignment horizontal="center"/>
    </xf>
    <xf numFmtId="1" fontId="0" fillId="0" borderId="25" xfId="0" applyNumberFormat="1" applyFont="1" applyFill="1" applyBorder="1" applyAlignment="1">
      <alignment horizontal="right"/>
    </xf>
    <xf numFmtId="4" fontId="0" fillId="0" borderId="25" xfId="0" applyNumberFormat="1" applyFont="1" applyFill="1" applyBorder="1" applyAlignment="1">
      <alignment horizontal="right"/>
    </xf>
    <xf numFmtId="4" fontId="0" fillId="0" borderId="33" xfId="0" applyNumberFormat="1" applyFont="1" applyFill="1" applyBorder="1" applyAlignment="1">
      <alignment horizontal="right"/>
    </xf>
    <xf numFmtId="0" fontId="75" fillId="0" borderId="0" xfId="0" applyFont="1" applyFill="1" applyBorder="1" applyAlignment="1">
      <alignment vertical="center"/>
    </xf>
    <xf numFmtId="0" fontId="74" fillId="0" borderId="0" xfId="0" applyFont="1" applyFill="1" applyBorder="1" applyAlignment="1">
      <alignment/>
    </xf>
    <xf numFmtId="0" fontId="0" fillId="0" borderId="25" xfId="0" applyFont="1" applyBorder="1" applyAlignment="1">
      <alignment horizontal="justify" vertical="top" wrapText="1"/>
    </xf>
    <xf numFmtId="49" fontId="15" fillId="0" borderId="31" xfId="0" applyNumberFormat="1" applyFont="1" applyFill="1" applyBorder="1" applyAlignment="1">
      <alignment horizontal="center" vertical="top" wrapText="1"/>
    </xf>
    <xf numFmtId="49" fontId="76" fillId="0" borderId="25" xfId="0" applyNumberFormat="1" applyFont="1" applyFill="1" applyBorder="1" applyAlignment="1">
      <alignment horizontal="center" vertical="top" wrapText="1"/>
    </xf>
    <xf numFmtId="0" fontId="77" fillId="0" borderId="25" xfId="0" applyFont="1" applyBorder="1" applyAlignment="1">
      <alignment horizontal="justify" vertical="top" wrapText="1"/>
    </xf>
    <xf numFmtId="0" fontId="77" fillId="0" borderId="25" xfId="0" applyFont="1" applyFill="1" applyBorder="1" applyAlignment="1">
      <alignment horizontal="center"/>
    </xf>
    <xf numFmtId="1" fontId="77" fillId="0" borderId="25" xfId="0" applyNumberFormat="1" applyFont="1" applyFill="1" applyBorder="1" applyAlignment="1">
      <alignment horizontal="right"/>
    </xf>
    <xf numFmtId="4" fontId="77" fillId="0" borderId="25" xfId="0" applyNumberFormat="1" applyFont="1" applyFill="1" applyBorder="1" applyAlignment="1">
      <alignment horizontal="right"/>
    </xf>
    <xf numFmtId="4" fontId="77" fillId="0" borderId="33" xfId="0" applyNumberFormat="1" applyFont="1" applyFill="1" applyBorder="1" applyAlignment="1">
      <alignment horizontal="right"/>
    </xf>
    <xf numFmtId="0" fontId="77" fillId="0" borderId="0" xfId="0" applyFont="1" applyFill="1" applyBorder="1" applyAlignment="1">
      <alignment/>
    </xf>
    <xf numFmtId="0" fontId="0" fillId="0" borderId="32" xfId="0" applyFill="1" applyBorder="1" applyAlignment="1">
      <alignment horizontal="justify" vertical="top" wrapText="1"/>
    </xf>
    <xf numFmtId="0" fontId="0" fillId="0" borderId="25" xfId="0" applyFill="1" applyBorder="1" applyAlignment="1">
      <alignment horizontal="justify" vertical="top" wrapText="1"/>
    </xf>
    <xf numFmtId="4" fontId="4" fillId="37" borderId="33" xfId="0" applyNumberFormat="1" applyFont="1" applyFill="1" applyBorder="1" applyAlignment="1">
      <alignment/>
    </xf>
    <xf numFmtId="49" fontId="1" fillId="0" borderId="35" xfId="0" applyNumberFormat="1" applyFont="1" applyFill="1" applyBorder="1" applyAlignment="1">
      <alignment horizontal="center" vertical="top" wrapText="1"/>
    </xf>
    <xf numFmtId="0" fontId="0" fillId="0" borderId="32" xfId="0" applyFont="1" applyBorder="1" applyAlignment="1">
      <alignment horizontal="justify" vertical="top" wrapText="1"/>
    </xf>
    <xf numFmtId="0" fontId="0" fillId="0" borderId="0" xfId="0" applyFont="1" applyFill="1" applyBorder="1" applyAlignment="1">
      <alignment horizontal="justify" vertical="top"/>
    </xf>
    <xf numFmtId="0" fontId="0" fillId="0" borderId="32" xfId="0" applyFont="1" applyFill="1" applyBorder="1" applyAlignment="1">
      <alignment horizontal="justify" vertical="top" wrapText="1"/>
    </xf>
    <xf numFmtId="0" fontId="13" fillId="0" borderId="0" xfId="0" applyFont="1" applyFill="1" applyBorder="1" applyAlignment="1">
      <alignment horizontal="center" vertical="center" wrapText="1"/>
    </xf>
    <xf numFmtId="0" fontId="10"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1" fontId="19" fillId="0" borderId="0"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1" fontId="13" fillId="0" borderId="0" xfId="0" applyNumberFormat="1" applyFont="1" applyFill="1" applyBorder="1" applyAlignment="1">
      <alignment horizontal="center" vertical="center" wrapText="1"/>
    </xf>
    <xf numFmtId="0" fontId="1" fillId="0" borderId="0" xfId="0" applyFont="1" applyFill="1" applyBorder="1" applyAlignment="1">
      <alignment/>
    </xf>
    <xf numFmtId="49" fontId="19" fillId="0" borderId="25" xfId="0" applyNumberFormat="1" applyFont="1" applyFill="1" applyBorder="1" applyAlignment="1">
      <alignment horizontal="center" vertical="top" wrapText="1"/>
    </xf>
    <xf numFmtId="0" fontId="19" fillId="0" borderId="31" xfId="0" applyFont="1" applyFill="1" applyBorder="1" applyAlignment="1">
      <alignment horizontal="justify" wrapText="1"/>
    </xf>
    <xf numFmtId="0" fontId="19" fillId="0" borderId="27" xfId="0" applyFont="1" applyFill="1" applyBorder="1" applyAlignment="1">
      <alignment horizontal="center"/>
    </xf>
    <xf numFmtId="1" fontId="1" fillId="0" borderId="27" xfId="0" applyNumberFormat="1" applyFont="1" applyFill="1" applyBorder="1" applyAlignment="1">
      <alignment horizontal="right"/>
    </xf>
    <xf numFmtId="4" fontId="1" fillId="0" borderId="27" xfId="0" applyNumberFormat="1" applyFont="1" applyFill="1" applyBorder="1" applyAlignment="1">
      <alignment horizontal="right"/>
    </xf>
    <xf numFmtId="4" fontId="10" fillId="0" borderId="36" xfId="0" applyNumberFormat="1" applyFont="1" applyFill="1" applyBorder="1" applyAlignment="1">
      <alignment horizontal="right"/>
    </xf>
    <xf numFmtId="0" fontId="15"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1"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9" fontId="1" fillId="0" borderId="25" xfId="0" applyNumberFormat="1" applyFont="1" applyFill="1" applyBorder="1" applyAlignment="1">
      <alignment horizontal="center" vertical="top"/>
    </xf>
    <xf numFmtId="0" fontId="1" fillId="0" borderId="25" xfId="0" applyFont="1" applyFill="1" applyBorder="1" applyAlignment="1">
      <alignment horizontal="center" vertical="top" wrapText="1"/>
    </xf>
    <xf numFmtId="0" fontId="0" fillId="0" borderId="0" xfId="0" applyFont="1" applyAlignment="1">
      <alignment vertical="center"/>
    </xf>
    <xf numFmtId="0" fontId="0" fillId="0" borderId="0" xfId="0" applyFont="1" applyAlignment="1">
      <alignment/>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right" vertical="top"/>
    </xf>
    <xf numFmtId="192" fontId="0" fillId="0" borderId="0" xfId="0" applyNumberFormat="1" applyFont="1" applyFill="1" applyBorder="1" applyAlignment="1" applyProtection="1">
      <alignment horizontal="right" vertical="top"/>
      <protection/>
    </xf>
    <xf numFmtId="4" fontId="0"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right" vertical="center" wrapText="1"/>
    </xf>
    <xf numFmtId="0" fontId="0" fillId="0" borderId="0" xfId="0" applyFont="1" applyFill="1" applyAlignment="1">
      <alignment horizontal="right"/>
    </xf>
    <xf numFmtId="4" fontId="1" fillId="0" borderId="0" xfId="0" applyNumberFormat="1" applyFont="1" applyFill="1" applyBorder="1" applyAlignment="1">
      <alignment horizontal="right" wrapText="1"/>
    </xf>
    <xf numFmtId="0" fontId="0" fillId="0" borderId="0" xfId="0" applyFont="1" applyFill="1" applyAlignment="1">
      <alignment vertical="center"/>
    </xf>
    <xf numFmtId="0" fontId="0" fillId="0" borderId="0" xfId="0" applyFont="1" applyFill="1" applyAlignment="1">
      <alignment/>
    </xf>
    <xf numFmtId="0" fontId="1" fillId="0" borderId="0" xfId="0" applyFont="1" applyAlignment="1">
      <alignment vertical="center"/>
    </xf>
    <xf numFmtId="0" fontId="5" fillId="0" borderId="0" xfId="0" applyFont="1" applyFill="1" applyBorder="1" applyAlignment="1">
      <alignment horizontal="center"/>
    </xf>
    <xf numFmtId="4" fontId="5" fillId="0" borderId="0" xfId="0" applyNumberFormat="1" applyFont="1" applyFill="1" applyBorder="1" applyAlignment="1">
      <alignment horizontal="right" vertical="center"/>
    </xf>
    <xf numFmtId="0" fontId="0" fillId="0" borderId="0" xfId="0" applyAlignment="1">
      <alignment vertical="center"/>
    </xf>
    <xf numFmtId="4" fontId="5" fillId="0" borderId="0" xfId="0" applyNumberFormat="1" applyFont="1" applyFill="1" applyBorder="1" applyAlignment="1">
      <alignment horizontal="right" vertical="top"/>
    </xf>
    <xf numFmtId="193"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0" fillId="0" borderId="0" xfId="0" applyFont="1" applyAlignment="1">
      <alignment horizontal="right" vertical="center"/>
    </xf>
    <xf numFmtId="4" fontId="4" fillId="0" borderId="0" xfId="0" applyNumberFormat="1" applyFont="1" applyFill="1" applyBorder="1" applyAlignment="1">
      <alignment horizontal="right" vertical="center" wrapText="1"/>
    </xf>
    <xf numFmtId="4" fontId="1" fillId="0" borderId="0" xfId="0" applyNumberFormat="1" applyFont="1"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1" fontId="0" fillId="0" borderId="13" xfId="0" applyNumberForma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1" fontId="0" fillId="0" borderId="14" xfId="0" applyNumberFormat="1" applyBorder="1" applyAlignment="1">
      <alignment horizontal="center" vertical="center"/>
    </xf>
    <xf numFmtId="4" fontId="0" fillId="0" borderId="14" xfId="0" applyNumberFormat="1" applyBorder="1" applyAlignment="1">
      <alignment horizontal="center" vertical="center"/>
    </xf>
    <xf numFmtId="1" fontId="0" fillId="0" borderId="14" xfId="0" applyNumberFormat="1" applyBorder="1" applyAlignment="1">
      <alignment horizontal="center" vertical="center" wrapText="1"/>
    </xf>
    <xf numFmtId="4" fontId="0" fillId="0" borderId="14" xfId="0" applyNumberFormat="1" applyBorder="1" applyAlignment="1">
      <alignment horizontal="center" vertical="center" wrapText="1"/>
    </xf>
    <xf numFmtId="1"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 fontId="0" fillId="0" borderId="13" xfId="0" applyNumberFormat="1" applyBorder="1" applyAlignment="1">
      <alignment horizontal="center" vertical="center" wrapText="1"/>
    </xf>
    <xf numFmtId="4" fontId="0" fillId="0" borderId="13" xfId="0" applyNumberFormat="1" applyBorder="1" applyAlignment="1">
      <alignment horizontal="center" vertical="center" wrapText="1"/>
    </xf>
    <xf numFmtId="0" fontId="0" fillId="0" borderId="15" xfId="0" applyBorder="1" applyAlignment="1">
      <alignment horizontal="center" vertical="center" wrapText="1"/>
    </xf>
    <xf numFmtId="1" fontId="0" fillId="0" borderId="15" xfId="0" applyNumberFormat="1" applyBorder="1" applyAlignment="1">
      <alignment horizontal="center" vertical="center" wrapText="1"/>
    </xf>
    <xf numFmtId="4" fontId="0" fillId="0" borderId="15"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0" fontId="0" fillId="0" borderId="10" xfId="0" applyNumberFormat="1" applyBorder="1" applyAlignment="1">
      <alignment horizontal="center" vertical="center" wrapText="1"/>
    </xf>
    <xf numFmtId="2" fontId="0" fillId="0" borderId="10" xfId="0" applyNumberFormat="1" applyBorder="1" applyAlignment="1">
      <alignment horizontal="center" vertical="center" wrapText="1"/>
    </xf>
    <xf numFmtId="184" fontId="0" fillId="0" borderId="10"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0" xfId="0" applyNumberFormat="1" applyBorder="1" applyAlignment="1">
      <alignment horizontal="center" wrapText="1"/>
    </xf>
    <xf numFmtId="4" fontId="0" fillId="0" borderId="10" xfId="0" applyNumberFormat="1" applyBorder="1" applyAlignment="1">
      <alignment horizontal="center" wrapText="1"/>
    </xf>
    <xf numFmtId="0" fontId="1" fillId="0" borderId="10" xfId="0" applyNumberFormat="1" applyFont="1" applyBorder="1" applyAlignment="1">
      <alignment horizont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184"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2" fontId="0" fillId="0" borderId="14"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2" fillId="0" borderId="10" xfId="0" applyFont="1" applyBorder="1" applyAlignment="1">
      <alignment horizontal="center" vertical="center" wrapText="1"/>
    </xf>
    <xf numFmtId="4" fontId="0" fillId="0" borderId="12" xfId="0" applyNumberFormat="1" applyBorder="1" applyAlignment="1">
      <alignment horizontal="center" vertical="center" wrapText="1"/>
    </xf>
    <xf numFmtId="4" fontId="22" fillId="0" borderId="16"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0" xfId="0" applyFont="1" applyBorder="1" applyAlignment="1">
      <alignment/>
    </xf>
    <xf numFmtId="0" fontId="8" fillId="0" borderId="10" xfId="0" applyFont="1" applyBorder="1" applyAlignment="1">
      <alignment/>
    </xf>
    <xf numFmtId="0" fontId="25" fillId="0" borderId="14" xfId="0" applyFont="1" applyBorder="1" applyAlignment="1">
      <alignment horizontal="center"/>
    </xf>
    <xf numFmtId="0" fontId="25" fillId="0" borderId="0" xfId="0" applyFont="1" applyBorder="1" applyAlignment="1">
      <alignment/>
    </xf>
    <xf numFmtId="4" fontId="25" fillId="0" borderId="21" xfId="0" applyNumberFormat="1" applyFont="1" applyBorder="1" applyAlignment="1">
      <alignment horizontal="center"/>
    </xf>
    <xf numFmtId="4" fontId="25" fillId="0" borderId="14" xfId="0" applyNumberFormat="1" applyFont="1" applyBorder="1" applyAlignment="1">
      <alignment horizontal="center"/>
    </xf>
    <xf numFmtId="0" fontId="25" fillId="0" borderId="13" xfId="0" applyFont="1" applyBorder="1" applyAlignment="1">
      <alignment horizontal="center" vertical="center"/>
    </xf>
    <xf numFmtId="0" fontId="26" fillId="0" borderId="23" xfId="0" applyFont="1" applyBorder="1" applyAlignment="1">
      <alignment wrapText="1"/>
    </xf>
    <xf numFmtId="0" fontId="26" fillId="0" borderId="13" xfId="0" applyFont="1" applyBorder="1" applyAlignment="1">
      <alignment horizontal="center"/>
    </xf>
    <xf numFmtId="4" fontId="26" fillId="0" borderId="18" xfId="0" applyNumberFormat="1" applyFont="1" applyBorder="1" applyAlignment="1">
      <alignment horizontal="center"/>
    </xf>
    <xf numFmtId="0" fontId="26" fillId="0" borderId="14" xfId="0" applyFont="1" applyBorder="1" applyAlignment="1">
      <alignment horizontal="center"/>
    </xf>
    <xf numFmtId="0" fontId="25" fillId="0" borderId="19" xfId="0" applyFont="1" applyBorder="1" applyAlignment="1">
      <alignment wrapText="1"/>
    </xf>
    <xf numFmtId="4" fontId="26" fillId="0" borderId="21" xfId="0" applyNumberFormat="1" applyFont="1" applyBorder="1" applyAlignment="1">
      <alignment horizontal="center"/>
    </xf>
    <xf numFmtId="0" fontId="26" fillId="0" borderId="19" xfId="0" applyFont="1" applyBorder="1" applyAlignment="1">
      <alignment/>
    </xf>
    <xf numFmtId="4" fontId="0" fillId="0" borderId="21" xfId="0" applyNumberFormat="1" applyBorder="1" applyAlignment="1">
      <alignment horizontal="center"/>
    </xf>
    <xf numFmtId="0" fontId="25" fillId="0" borderId="15" xfId="0" applyFont="1" applyBorder="1" applyAlignment="1">
      <alignment horizontal="center"/>
    </xf>
    <xf numFmtId="0" fontId="26" fillId="0" borderId="17" xfId="0" applyFont="1" applyBorder="1" applyAlignment="1">
      <alignment/>
    </xf>
    <xf numFmtId="0" fontId="26" fillId="0" borderId="15" xfId="0" applyFont="1" applyBorder="1" applyAlignment="1">
      <alignment horizontal="center"/>
    </xf>
    <xf numFmtId="4" fontId="26" fillId="0" borderId="20" xfId="0" applyNumberFormat="1" applyFont="1" applyBorder="1" applyAlignment="1">
      <alignment horizontal="center"/>
    </xf>
    <xf numFmtId="0" fontId="25" fillId="0" borderId="14" xfId="0" applyFont="1" applyBorder="1" applyAlignment="1">
      <alignment horizontal="center" vertical="center"/>
    </xf>
    <xf numFmtId="49" fontId="25" fillId="0" borderId="14" xfId="0" applyNumberFormat="1" applyFont="1" applyBorder="1" applyAlignment="1">
      <alignment horizontal="center"/>
    </xf>
    <xf numFmtId="0" fontId="25" fillId="0" borderId="0" xfId="0" applyFont="1" applyAlignment="1">
      <alignment/>
    </xf>
    <xf numFmtId="0" fontId="26" fillId="0" borderId="0" xfId="0" applyFont="1" applyAlignment="1">
      <alignment/>
    </xf>
    <xf numFmtId="49" fontId="25" fillId="0" borderId="14" xfId="0" applyNumberFormat="1" applyFont="1" applyBorder="1" applyAlignment="1">
      <alignment horizontal="center" vertical="center"/>
    </xf>
    <xf numFmtId="0" fontId="26" fillId="0" borderId="19" xfId="0" applyFont="1" applyBorder="1" applyAlignment="1">
      <alignment wrapText="1"/>
    </xf>
    <xf numFmtId="0" fontId="26" fillId="0" borderId="17" xfId="0" applyFont="1" applyBorder="1" applyAlignment="1">
      <alignment wrapText="1"/>
    </xf>
    <xf numFmtId="0" fontId="26" fillId="0" borderId="19" xfId="0" applyFont="1" applyBorder="1" applyAlignment="1">
      <alignment horizontal="left"/>
    </xf>
    <xf numFmtId="0" fontId="25" fillId="0" borderId="10" xfId="0" applyFont="1" applyBorder="1" applyAlignment="1">
      <alignment horizontal="center"/>
    </xf>
    <xf numFmtId="0" fontId="26" fillId="0" borderId="12" xfId="0" applyFont="1" applyBorder="1" applyAlignment="1">
      <alignment wrapText="1"/>
    </xf>
    <xf numFmtId="0" fontId="26" fillId="0" borderId="10" xfId="0" applyFont="1" applyBorder="1" applyAlignment="1">
      <alignment horizontal="center"/>
    </xf>
    <xf numFmtId="4" fontId="26" fillId="0" borderId="16" xfId="0" applyNumberFormat="1" applyFont="1" applyBorder="1" applyAlignment="1">
      <alignment horizontal="center"/>
    </xf>
    <xf numFmtId="4" fontId="26" fillId="0" borderId="14" xfId="0" applyNumberFormat="1" applyFont="1" applyBorder="1" applyAlignment="1">
      <alignment horizontal="center"/>
    </xf>
    <xf numFmtId="0" fontId="25" fillId="0" borderId="13" xfId="0" applyFont="1" applyBorder="1" applyAlignment="1">
      <alignment horizontal="center"/>
    </xf>
    <xf numFmtId="0" fontId="26" fillId="0" borderId="23" xfId="0" applyFont="1" applyBorder="1" applyAlignment="1">
      <alignment/>
    </xf>
    <xf numFmtId="0" fontId="26" fillId="0" borderId="14" xfId="0" applyFont="1" applyBorder="1" applyAlignment="1">
      <alignment horizontal="center"/>
    </xf>
    <xf numFmtId="0" fontId="27" fillId="0" borderId="19" xfId="0" applyFont="1" applyBorder="1" applyAlignment="1">
      <alignment/>
    </xf>
    <xf numFmtId="0" fontId="0" fillId="0" borderId="14" xfId="0" applyBorder="1" applyAlignment="1">
      <alignment horizontal="center"/>
    </xf>
    <xf numFmtId="4" fontId="0" fillId="0" borderId="14" xfId="0" applyNumberFormat="1" applyBorder="1" applyAlignment="1">
      <alignment horizontal="center"/>
    </xf>
    <xf numFmtId="0" fontId="26" fillId="0" borderId="23" xfId="0" applyFont="1" applyBorder="1" applyAlignment="1">
      <alignment/>
    </xf>
    <xf numFmtId="0" fontId="0" fillId="0" borderId="13" xfId="0" applyBorder="1" applyAlignment="1">
      <alignment horizontal="center"/>
    </xf>
    <xf numFmtId="4" fontId="0" fillId="0" borderId="13" xfId="0" applyNumberFormat="1" applyBorder="1" applyAlignment="1">
      <alignment horizontal="center"/>
    </xf>
    <xf numFmtId="4" fontId="0" fillId="0" borderId="18" xfId="0" applyNumberFormat="1" applyBorder="1" applyAlignment="1">
      <alignment horizontal="center"/>
    </xf>
    <xf numFmtId="0" fontId="26" fillId="0" borderId="19" xfId="0" applyFont="1" applyBorder="1" applyAlignment="1">
      <alignment/>
    </xf>
    <xf numFmtId="0" fontId="26" fillId="0" borderId="13" xfId="0" applyFont="1" applyBorder="1" applyAlignment="1">
      <alignment horizont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left" wrapText="1"/>
    </xf>
    <xf numFmtId="0" fontId="26" fillId="0" borderId="10" xfId="0" applyFont="1" applyBorder="1" applyAlignment="1">
      <alignment horizontal="center" vertical="center"/>
    </xf>
    <xf numFmtId="0" fontId="0" fillId="0" borderId="10" xfId="0" applyBorder="1" applyAlignment="1">
      <alignment horizontal="center"/>
    </xf>
    <xf numFmtId="4" fontId="0" fillId="0" borderId="16" xfId="0" applyNumberFormat="1" applyBorder="1" applyAlignment="1">
      <alignment horizontal="center"/>
    </xf>
    <xf numFmtId="0" fontId="26" fillId="0" borderId="24" xfId="0" applyFont="1" applyBorder="1" applyAlignment="1">
      <alignment/>
    </xf>
    <xf numFmtId="4" fontId="26" fillId="0" borderId="13" xfId="0" applyNumberFormat="1" applyFont="1" applyBorder="1" applyAlignment="1">
      <alignment horizontal="center"/>
    </xf>
    <xf numFmtId="0" fontId="26" fillId="0" borderId="19" xfId="0" applyFont="1" applyBorder="1" applyAlignment="1">
      <alignment/>
    </xf>
    <xf numFmtId="0" fontId="26" fillId="0" borderId="15" xfId="0" applyFont="1" applyBorder="1" applyAlignment="1">
      <alignment horizontal="center" vertical="center"/>
    </xf>
    <xf numFmtId="0" fontId="26" fillId="0" borderId="17" xfId="0" applyFont="1" applyBorder="1" applyAlignment="1">
      <alignment/>
    </xf>
    <xf numFmtId="4" fontId="26" fillId="0" borderId="15" xfId="0" applyNumberFormat="1" applyFont="1" applyBorder="1" applyAlignment="1">
      <alignment horizontal="center"/>
    </xf>
    <xf numFmtId="0" fontId="26" fillId="0" borderId="12" xfId="0" applyFont="1" applyBorder="1" applyAlignment="1">
      <alignment vertical="center" wrapText="1"/>
    </xf>
    <xf numFmtId="0" fontId="26" fillId="0" borderId="10" xfId="0" applyFont="1" applyBorder="1" applyAlignment="1">
      <alignment horizontal="center" vertical="center"/>
    </xf>
    <xf numFmtId="4" fontId="26" fillId="0" borderId="10" xfId="0" applyNumberFormat="1" applyFont="1" applyBorder="1" applyAlignment="1">
      <alignment horizontal="center"/>
    </xf>
    <xf numFmtId="0" fontId="0" fillId="0" borderId="0" xfId="0" applyAlignment="1">
      <alignment horizontal="center"/>
    </xf>
    <xf numFmtId="0" fontId="0" fillId="0" borderId="13" xfId="0" applyNumberFormat="1" applyFont="1" applyBorder="1" applyAlignment="1">
      <alignment horizontal="center" wrapText="1"/>
    </xf>
    <xf numFmtId="0" fontId="0" fillId="0" borderId="14" xfId="0" applyNumberFormat="1" applyFont="1" applyBorder="1" applyAlignment="1">
      <alignment horizontal="center" wrapText="1"/>
    </xf>
    <xf numFmtId="0" fontId="0" fillId="0" borderId="15" xfId="0" applyNumberFormat="1" applyFont="1" applyBorder="1" applyAlignment="1">
      <alignment horizontal="center" wrapText="1"/>
    </xf>
    <xf numFmtId="0" fontId="22" fillId="0" borderId="0" xfId="0" applyNumberFormat="1" applyFont="1" applyBorder="1" applyAlignment="1">
      <alignment horizontal="center" vertical="center" wrapText="1"/>
    </xf>
    <xf numFmtId="0" fontId="22" fillId="0" borderId="0" xfId="0" applyFont="1" applyBorder="1" applyAlignment="1">
      <alignment/>
    </xf>
    <xf numFmtId="0" fontId="8" fillId="0" borderId="0" xfId="0" applyFont="1" applyBorder="1" applyAlignment="1">
      <alignment/>
    </xf>
    <xf numFmtId="4" fontId="22" fillId="0" borderId="0" xfId="0" applyNumberFormat="1" applyFont="1" applyBorder="1" applyAlignment="1">
      <alignment horizontal="center"/>
    </xf>
    <xf numFmtId="4" fontId="22" fillId="0" borderId="0" xfId="0" applyNumberFormat="1" applyFont="1" applyBorder="1" applyAlignment="1">
      <alignment horizontal="center"/>
    </xf>
    <xf numFmtId="4" fontId="10" fillId="0" borderId="0" xfId="59" applyNumberFormat="1" applyFont="1" applyFill="1" applyBorder="1" applyAlignment="1">
      <alignment horizontal="center" vertical="top"/>
      <protection/>
    </xf>
    <xf numFmtId="2" fontId="10" fillId="0" borderId="0" xfId="59" applyNumberFormat="1" applyFont="1" applyFill="1" applyBorder="1" applyAlignment="1">
      <alignment/>
      <protection/>
    </xf>
    <xf numFmtId="4" fontId="8" fillId="0" borderId="0" xfId="59" applyNumberFormat="1" applyFont="1" applyFill="1" applyBorder="1" applyAlignment="1">
      <alignment/>
      <protection/>
    </xf>
    <xf numFmtId="0" fontId="8" fillId="0" borderId="0" xfId="59" applyFont="1" applyFill="1" applyBorder="1" applyAlignment="1">
      <alignment horizontal="center"/>
      <protection/>
    </xf>
    <xf numFmtId="4" fontId="8" fillId="0" borderId="0" xfId="0" applyNumberFormat="1" applyFont="1" applyAlignment="1">
      <alignment/>
    </xf>
    <xf numFmtId="4" fontId="8" fillId="0" borderId="0" xfId="0" applyNumberFormat="1" applyFont="1" applyFill="1" applyBorder="1" applyAlignment="1">
      <alignment horizontal="center" vertical="top"/>
    </xf>
    <xf numFmtId="2" fontId="8" fillId="0" borderId="0" xfId="0" applyNumberFormat="1" applyFont="1" applyFill="1" applyBorder="1" applyAlignment="1">
      <alignment/>
    </xf>
    <xf numFmtId="4" fontId="8" fillId="0" borderId="0" xfId="0" applyNumberFormat="1" applyFont="1" applyFill="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4" fontId="8" fillId="0" borderId="0" xfId="0" applyNumberFormat="1" applyFont="1" applyAlignment="1">
      <alignment horizontal="center"/>
    </xf>
    <xf numFmtId="4" fontId="8" fillId="0" borderId="10" xfId="59" applyNumberFormat="1" applyFont="1" applyFill="1" applyBorder="1" applyAlignment="1">
      <alignment horizontal="center" vertical="top"/>
      <protection/>
    </xf>
    <xf numFmtId="2" fontId="8" fillId="0" borderId="10" xfId="59" applyNumberFormat="1" applyFont="1" applyFill="1" applyBorder="1" applyAlignment="1">
      <alignment vertical="top"/>
      <protection/>
    </xf>
    <xf numFmtId="0" fontId="8" fillId="0" borderId="10" xfId="59" applyFont="1" applyFill="1" applyBorder="1" applyAlignment="1">
      <alignment horizontal="center"/>
      <protection/>
    </xf>
    <xf numFmtId="10" fontId="8" fillId="0" borderId="10" xfId="59" applyNumberFormat="1" applyFont="1" applyFill="1" applyBorder="1" applyAlignment="1">
      <alignment/>
      <protection/>
    </xf>
    <xf numFmtId="4" fontId="8" fillId="0" borderId="10" xfId="59" applyNumberFormat="1" applyFont="1" applyFill="1" applyBorder="1" applyAlignment="1">
      <alignment/>
      <protection/>
    </xf>
    <xf numFmtId="4" fontId="10" fillId="0" borderId="10" xfId="59" applyNumberFormat="1" applyFont="1" applyFill="1" applyBorder="1" applyAlignment="1">
      <alignment horizontal="center" vertical="top"/>
      <protection/>
    </xf>
    <xf numFmtId="2" fontId="10" fillId="0" borderId="10" xfId="59" applyNumberFormat="1" applyFont="1" applyFill="1" applyBorder="1" applyAlignment="1">
      <alignment/>
      <protection/>
    </xf>
    <xf numFmtId="0" fontId="10" fillId="0" borderId="10" xfId="59" applyFont="1" applyFill="1" applyBorder="1" applyAlignment="1">
      <alignment horizontal="center"/>
      <protection/>
    </xf>
    <xf numFmtId="10" fontId="10" fillId="0" borderId="10" xfId="59" applyNumberFormat="1" applyFont="1" applyFill="1" applyBorder="1" applyAlignment="1">
      <alignment/>
      <protection/>
    </xf>
    <xf numFmtId="4" fontId="10" fillId="0" borderId="10" xfId="59" applyNumberFormat="1" applyFont="1" applyFill="1" applyBorder="1" applyAlignment="1">
      <alignment/>
      <protection/>
    </xf>
    <xf numFmtId="0" fontId="10" fillId="0" borderId="0" xfId="59" applyFont="1" applyFill="1" applyBorder="1" applyAlignment="1">
      <alignment horizontal="center"/>
      <protection/>
    </xf>
    <xf numFmtId="4" fontId="10" fillId="0" borderId="0" xfId="59" applyNumberFormat="1" applyFont="1" applyFill="1" applyBorder="1" applyAlignment="1">
      <alignment/>
      <protection/>
    </xf>
    <xf numFmtId="2" fontId="0" fillId="0" borderId="10" xfId="0" applyNumberFormat="1" applyFont="1" applyFill="1" applyBorder="1" applyAlignment="1" applyProtection="1">
      <alignment vertical="top"/>
      <protection/>
    </xf>
    <xf numFmtId="2" fontId="0" fillId="0" borderId="10" xfId="59" applyNumberFormat="1" applyFont="1" applyBorder="1" applyAlignment="1">
      <alignment horizontal="justify" vertical="center" wrapText="1"/>
      <protection/>
    </xf>
    <xf numFmtId="2" fontId="0" fillId="0" borderId="10" xfId="59" applyNumberFormat="1" applyFont="1" applyBorder="1" applyAlignment="1">
      <alignment horizontal="justify" vertical="center"/>
      <protection/>
    </xf>
    <xf numFmtId="2" fontId="0" fillId="0" borderId="10" xfId="59" applyNumberFormat="1" applyFont="1" applyBorder="1" applyAlignment="1">
      <alignment horizontal="left" vertical="justify" wrapText="1"/>
      <protection/>
    </xf>
    <xf numFmtId="2" fontId="0" fillId="0" borderId="10" xfId="59" applyNumberFormat="1" applyFont="1" applyBorder="1" applyAlignment="1">
      <alignment horizontal="right" vertical="justify" wrapText="1"/>
      <protection/>
    </xf>
    <xf numFmtId="2" fontId="0" fillId="0" borderId="12" xfId="59" applyNumberFormat="1" applyFont="1" applyBorder="1" applyAlignment="1">
      <alignment horizontal="justify" vertical="justify" wrapText="1"/>
      <protection/>
    </xf>
    <xf numFmtId="0" fontId="0" fillId="0" borderId="0" xfId="59" applyFont="1" applyBorder="1" applyAlignment="1">
      <alignment vertical="top"/>
      <protection/>
    </xf>
    <xf numFmtId="0" fontId="0" fillId="0" borderId="23" xfId="59" applyFont="1" applyBorder="1">
      <alignment/>
      <protection/>
    </xf>
    <xf numFmtId="0" fontId="0" fillId="0" borderId="24" xfId="59" applyFont="1" applyBorder="1">
      <alignment/>
      <protection/>
    </xf>
    <xf numFmtId="2" fontId="0" fillId="0" borderId="10" xfId="59" applyNumberFormat="1" applyFont="1" applyBorder="1" applyAlignment="1">
      <alignment horizontal="left" vertical="top" wrapText="1"/>
      <protection/>
    </xf>
    <xf numFmtId="4" fontId="0" fillId="0" borderId="0" xfId="59" applyNumberFormat="1" applyFont="1" applyBorder="1" applyAlignment="1">
      <alignment horizontal="center" vertical="top"/>
      <protection/>
    </xf>
    <xf numFmtId="4" fontId="0" fillId="0" borderId="16" xfId="59" applyNumberFormat="1" applyFont="1" applyBorder="1">
      <alignment/>
      <protection/>
    </xf>
    <xf numFmtId="0" fontId="0" fillId="0" borderId="11" xfId="0" applyFont="1" applyBorder="1" applyAlignment="1">
      <alignment horizontal="right" vertical="justify"/>
    </xf>
    <xf numFmtId="0" fontId="0" fillId="0" borderId="11" xfId="59" applyFont="1" applyBorder="1">
      <alignment/>
      <protection/>
    </xf>
    <xf numFmtId="0" fontId="0" fillId="0" borderId="10" xfId="0" applyFont="1" applyBorder="1" applyAlignment="1">
      <alignment horizontal="justify" vertical="top" wrapText="1"/>
    </xf>
    <xf numFmtId="4" fontId="4" fillId="0" borderId="0" xfId="59" applyNumberFormat="1" applyFont="1" applyFill="1" applyBorder="1" applyAlignment="1">
      <alignment horizontal="right" vertical="top"/>
      <protection/>
    </xf>
    <xf numFmtId="2" fontId="4" fillId="0" borderId="0" xfId="59" applyNumberFormat="1" applyFont="1" applyFill="1" applyBorder="1" applyAlignment="1">
      <alignment wrapText="1"/>
      <protection/>
    </xf>
    <xf numFmtId="4" fontId="5" fillId="0" borderId="0" xfId="59" applyNumberFormat="1" applyFont="1" applyFill="1" applyBorder="1">
      <alignment/>
      <protection/>
    </xf>
    <xf numFmtId="4" fontId="47" fillId="0" borderId="10" xfId="0" applyNumberFormat="1" applyFont="1" applyBorder="1" applyAlignment="1" applyProtection="1">
      <alignment wrapText="1"/>
      <protection/>
    </xf>
    <xf numFmtId="4" fontId="1" fillId="35" borderId="15" xfId="0" applyNumberFormat="1" applyFont="1" applyFill="1" applyBorder="1" applyAlignment="1" applyProtection="1">
      <alignment horizontal="center" wrapText="1"/>
      <protection/>
    </xf>
    <xf numFmtId="0" fontId="0" fillId="35" borderId="0" xfId="59" applyFont="1" applyFill="1" applyAlignment="1">
      <alignment horizontal="center"/>
      <protection/>
    </xf>
    <xf numFmtId="0" fontId="0" fillId="35" borderId="0" xfId="0" applyFont="1" applyFill="1" applyAlignment="1">
      <alignment/>
    </xf>
    <xf numFmtId="2" fontId="4" fillId="12" borderId="12" xfId="0" applyNumberFormat="1" applyFont="1" applyFill="1" applyBorder="1" applyAlignment="1" applyProtection="1">
      <alignment horizontal="right" vertical="top"/>
      <protection/>
    </xf>
    <xf numFmtId="0" fontId="4" fillId="12" borderId="12" xfId="0" applyNumberFormat="1" applyFont="1" applyFill="1" applyBorder="1" applyAlignment="1" applyProtection="1">
      <alignment horizontal="left" vertical="top" wrapText="1"/>
      <protection/>
    </xf>
    <xf numFmtId="0" fontId="5" fillId="12" borderId="11" xfId="0" applyNumberFormat="1" applyFont="1" applyFill="1" applyBorder="1" applyAlignment="1" applyProtection="1">
      <alignment horizontal="center"/>
      <protection/>
    </xf>
    <xf numFmtId="4" fontId="5" fillId="12" borderId="11" xfId="0" applyNumberFormat="1" applyFont="1" applyFill="1" applyBorder="1" applyAlignment="1" applyProtection="1">
      <alignment horizontal="center"/>
      <protection/>
    </xf>
    <xf numFmtId="4" fontId="5" fillId="12" borderId="16" xfId="0" applyNumberFormat="1" applyFont="1" applyFill="1" applyBorder="1" applyAlignment="1" applyProtection="1">
      <alignment horizontal="right"/>
      <protection/>
    </xf>
    <xf numFmtId="0" fontId="0" fillId="12" borderId="0" xfId="59" applyFont="1" applyFill="1" applyAlignment="1">
      <alignment horizontal="center"/>
      <protection/>
    </xf>
    <xf numFmtId="0" fontId="5" fillId="12" borderId="0" xfId="0" applyFont="1" applyFill="1" applyAlignment="1">
      <alignment/>
    </xf>
    <xf numFmtId="0" fontId="0" fillId="12" borderId="0" xfId="0" applyFont="1" applyFill="1" applyAlignment="1">
      <alignment/>
    </xf>
    <xf numFmtId="4" fontId="4" fillId="12" borderId="10" xfId="59" applyNumberFormat="1" applyFont="1" applyFill="1" applyBorder="1" applyAlignment="1">
      <alignment horizontal="right" vertical="top"/>
      <protection/>
    </xf>
    <xf numFmtId="2" fontId="4" fillId="12" borderId="10" xfId="59" applyNumberFormat="1" applyFont="1" applyFill="1" applyBorder="1" applyAlignment="1">
      <alignment vertical="top" wrapText="1"/>
      <protection/>
    </xf>
    <xf numFmtId="4" fontId="4" fillId="12" borderId="10" xfId="59" applyNumberFormat="1" applyFont="1" applyFill="1" applyBorder="1" applyAlignment="1">
      <alignment horizontal="right"/>
      <protection/>
    </xf>
    <xf numFmtId="0" fontId="0" fillId="12" borderId="0" xfId="59" applyFont="1" applyFill="1" applyBorder="1" applyAlignment="1">
      <alignment horizontal="center"/>
      <protection/>
    </xf>
    <xf numFmtId="0" fontId="5" fillId="12" borderId="0" xfId="0" applyFont="1" applyFill="1" applyBorder="1" applyAlignment="1">
      <alignment/>
    </xf>
    <xf numFmtId="4" fontId="0" fillId="12" borderId="10" xfId="0" applyNumberFormat="1" applyFont="1" applyFill="1" applyBorder="1" applyAlignment="1">
      <alignment/>
    </xf>
    <xf numFmtId="4" fontId="4" fillId="12" borderId="10" xfId="0" applyNumberFormat="1" applyFont="1" applyFill="1" applyBorder="1" applyAlignment="1">
      <alignment/>
    </xf>
    <xf numFmtId="4" fontId="5" fillId="12" borderId="10" xfId="59" applyNumberFormat="1" applyFont="1" applyFill="1" applyBorder="1" applyAlignment="1">
      <alignment horizontal="center"/>
      <protection/>
    </xf>
    <xf numFmtId="4" fontId="5" fillId="12" borderId="10" xfId="59" applyNumberFormat="1" applyFont="1" applyFill="1" applyBorder="1" applyAlignment="1">
      <alignment horizontal="right"/>
      <protection/>
    </xf>
    <xf numFmtId="2" fontId="0" fillId="12" borderId="0" xfId="0" applyNumberFormat="1" applyFont="1" applyFill="1" applyBorder="1" applyAlignment="1">
      <alignment/>
    </xf>
    <xf numFmtId="0" fontId="0" fillId="12" borderId="0" xfId="0" applyFont="1" applyFill="1" applyBorder="1" applyAlignment="1">
      <alignment/>
    </xf>
    <xf numFmtId="4" fontId="4" fillId="12" borderId="12" xfId="59" applyNumberFormat="1" applyFont="1" applyFill="1" applyBorder="1" applyAlignment="1">
      <alignment horizontal="right" vertical="top"/>
      <protection/>
    </xf>
    <xf numFmtId="2" fontId="4" fillId="12" borderId="12" xfId="59" applyNumberFormat="1" applyFont="1" applyFill="1" applyBorder="1" applyAlignment="1">
      <alignment vertical="top"/>
      <protection/>
    </xf>
    <xf numFmtId="4" fontId="5" fillId="12" borderId="11" xfId="59" applyNumberFormat="1" applyFont="1" applyFill="1" applyBorder="1" applyAlignment="1">
      <alignment horizontal="center"/>
      <protection/>
    </xf>
    <xf numFmtId="4" fontId="4" fillId="12" borderId="11" xfId="59" applyNumberFormat="1" applyFont="1" applyFill="1" applyBorder="1" applyAlignment="1">
      <alignment horizontal="right" vertical="top"/>
      <protection/>
    </xf>
    <xf numFmtId="4" fontId="5" fillId="12" borderId="11" xfId="59" applyNumberFormat="1" applyFont="1" applyFill="1" applyBorder="1" applyAlignment="1">
      <alignment/>
      <protection/>
    </xf>
    <xf numFmtId="4" fontId="5" fillId="12" borderId="16" xfId="0" applyNumberFormat="1" applyFont="1" applyFill="1" applyBorder="1" applyAlignment="1">
      <alignment/>
    </xf>
    <xf numFmtId="0" fontId="0" fillId="12" borderId="0" xfId="0" applyFont="1" applyFill="1" applyAlignment="1">
      <alignment horizontal="center"/>
    </xf>
    <xf numFmtId="0" fontId="1" fillId="35" borderId="15" xfId="0" applyNumberFormat="1" applyFont="1" applyFill="1" applyBorder="1" applyAlignment="1" applyProtection="1">
      <alignment horizontal="center" vertical="center"/>
      <protection/>
    </xf>
    <xf numFmtId="0" fontId="1" fillId="35" borderId="15" xfId="0" applyNumberFormat="1" applyFont="1" applyFill="1" applyBorder="1" applyAlignment="1" applyProtection="1">
      <alignment horizontal="center" vertical="center" wrapText="1"/>
      <protection/>
    </xf>
    <xf numFmtId="2"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lignment horizontal="center" wrapText="1"/>
    </xf>
    <xf numFmtId="4" fontId="0" fillId="0" borderId="10" xfId="0" applyNumberFormat="1" applyFont="1" applyFill="1" applyBorder="1" applyAlignment="1">
      <alignment/>
    </xf>
    <xf numFmtId="4" fontId="0" fillId="0" borderId="10" xfId="0" applyNumberFormat="1" applyBorder="1" applyAlignment="1">
      <alignment/>
    </xf>
    <xf numFmtId="4" fontId="73" fillId="0" borderId="10" xfId="0" applyNumberFormat="1" applyFont="1" applyBorder="1" applyAlignment="1">
      <alignment/>
    </xf>
    <xf numFmtId="4" fontId="73" fillId="0" borderId="10" xfId="0" applyNumberFormat="1" applyFont="1" applyFill="1" applyBorder="1" applyAlignment="1">
      <alignment/>
    </xf>
    <xf numFmtId="4" fontId="0" fillId="0" borderId="10" xfId="0" applyNumberFormat="1" applyFill="1" applyBorder="1" applyAlignment="1">
      <alignment/>
    </xf>
    <xf numFmtId="4" fontId="0" fillId="0" borderId="10" xfId="57" applyNumberFormat="1" applyBorder="1">
      <alignment/>
      <protection/>
    </xf>
    <xf numFmtId="4" fontId="0" fillId="0" borderId="10" xfId="57" applyNumberFormat="1" applyFill="1" applyBorder="1">
      <alignment/>
      <protection/>
    </xf>
    <xf numFmtId="4" fontId="12"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4" fontId="0"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77" fillId="0" borderId="10" xfId="0" applyNumberFormat="1" applyFont="1" applyFill="1" applyBorder="1" applyAlignment="1">
      <alignment/>
    </xf>
    <xf numFmtId="4" fontId="10" fillId="0" borderId="10" xfId="0" applyNumberFormat="1" applyFont="1" applyFill="1" applyBorder="1" applyAlignment="1">
      <alignment vertical="center"/>
    </xf>
    <xf numFmtId="4" fontId="1" fillId="0" borderId="10" xfId="0" applyNumberFormat="1" applyFont="1" applyFill="1" applyBorder="1" applyAlignment="1">
      <alignment/>
    </xf>
    <xf numFmtId="4" fontId="0" fillId="0" borderId="10" xfId="0" applyNumberFormat="1" applyFont="1" applyBorder="1" applyAlignment="1">
      <alignment vertical="center"/>
    </xf>
    <xf numFmtId="4" fontId="0" fillId="0" borderId="10" xfId="0" applyNumberFormat="1" applyBorder="1" applyAlignment="1">
      <alignment vertical="center"/>
    </xf>
    <xf numFmtId="2" fontId="4" fillId="12" borderId="12" xfId="59" applyNumberFormat="1" applyFont="1" applyFill="1" applyBorder="1" applyAlignment="1">
      <alignment horizontal="justify" vertical="top" wrapText="1"/>
      <protection/>
    </xf>
    <xf numFmtId="4" fontId="4" fillId="12" borderId="11" xfId="59" applyNumberFormat="1" applyFont="1" applyFill="1" applyBorder="1" applyAlignment="1">
      <alignment horizontal="center"/>
      <protection/>
    </xf>
    <xf numFmtId="4" fontId="4" fillId="12" borderId="11" xfId="59" applyNumberFormat="1" applyFont="1" applyFill="1" applyBorder="1" applyAlignment="1">
      <alignment/>
      <protection/>
    </xf>
    <xf numFmtId="4" fontId="4" fillId="12" borderId="16" xfId="0" applyNumberFormat="1" applyFont="1" applyFill="1" applyBorder="1" applyAlignment="1">
      <alignment/>
    </xf>
    <xf numFmtId="4" fontId="4" fillId="36" borderId="0" xfId="59" applyNumberFormat="1" applyFont="1" applyFill="1" applyBorder="1" applyAlignment="1">
      <alignment horizontal="right" vertical="top"/>
      <protection/>
    </xf>
    <xf numFmtId="2" fontId="4" fillId="36" borderId="0" xfId="59" applyNumberFormat="1" applyFont="1" applyFill="1" applyBorder="1" applyAlignment="1">
      <alignment vertical="top" wrapText="1"/>
      <protection/>
    </xf>
    <xf numFmtId="4" fontId="5" fillId="36" borderId="0" xfId="59" applyNumberFormat="1" applyFont="1" applyFill="1" applyBorder="1" applyAlignment="1">
      <alignment horizontal="center"/>
      <protection/>
    </xf>
    <xf numFmtId="4" fontId="5" fillId="36" borderId="0" xfId="59" applyNumberFormat="1" applyFont="1" applyFill="1" applyBorder="1" applyAlignment="1">
      <alignment horizontal="right"/>
      <protection/>
    </xf>
    <xf numFmtId="4" fontId="4" fillId="36" borderId="0" xfId="59" applyNumberFormat="1" applyFont="1" applyFill="1" applyBorder="1" applyAlignment="1">
      <alignment horizontal="right"/>
      <protection/>
    </xf>
    <xf numFmtId="0" fontId="0" fillId="36" borderId="0" xfId="59" applyFont="1" applyFill="1">
      <alignment/>
      <protection/>
    </xf>
    <xf numFmtId="4" fontId="0" fillId="12" borderId="0" xfId="0" applyNumberFormat="1" applyFont="1" applyFill="1" applyBorder="1" applyAlignment="1">
      <alignment horizontal="center"/>
    </xf>
    <xf numFmtId="4" fontId="4" fillId="12" borderId="17" xfId="59" applyNumberFormat="1" applyFont="1" applyFill="1" applyBorder="1" applyAlignment="1">
      <alignment horizontal="right" vertical="top"/>
      <protection/>
    </xf>
    <xf numFmtId="4" fontId="5" fillId="12" borderId="11" xfId="59" applyNumberFormat="1" applyFont="1" applyFill="1" applyBorder="1" applyAlignment="1">
      <alignment horizontal="right"/>
      <protection/>
    </xf>
    <xf numFmtId="4" fontId="4" fillId="12" borderId="16" xfId="59" applyNumberFormat="1" applyFont="1" applyFill="1" applyBorder="1" applyAlignment="1">
      <alignment horizontal="right"/>
      <protection/>
    </xf>
    <xf numFmtId="2" fontId="0" fillId="12" borderId="0" xfId="0" applyNumberFormat="1" applyFont="1" applyFill="1" applyAlignment="1">
      <alignment/>
    </xf>
    <xf numFmtId="4" fontId="1" fillId="12" borderId="10" xfId="0" applyNumberFormat="1" applyFont="1" applyFill="1" applyBorder="1" applyAlignment="1" applyProtection="1">
      <alignment horizontal="center"/>
      <protection/>
    </xf>
    <xf numFmtId="2" fontId="0" fillId="12" borderId="0" xfId="59" applyNumberFormat="1" applyFont="1" applyFill="1">
      <alignment/>
      <protection/>
    </xf>
    <xf numFmtId="0" fontId="0" fillId="12" borderId="0" xfId="59" applyFont="1" applyFill="1">
      <alignment/>
      <protection/>
    </xf>
    <xf numFmtId="2" fontId="4" fillId="12" borderId="11" xfId="59" applyNumberFormat="1" applyFont="1" applyFill="1" applyBorder="1" applyAlignment="1">
      <alignment vertical="top" wrapText="1"/>
      <protection/>
    </xf>
    <xf numFmtId="4" fontId="4" fillId="12" borderId="11" xfId="59" applyNumberFormat="1" applyFont="1" applyFill="1" applyBorder="1" applyAlignment="1">
      <alignment horizontal="right"/>
      <protection/>
    </xf>
    <xf numFmtId="2" fontId="0" fillId="0" borderId="0" xfId="59" applyNumberFormat="1" applyFont="1" applyBorder="1" applyAlignment="1">
      <alignment horizontal="justify"/>
      <protection/>
    </xf>
    <xf numFmtId="2" fontId="0" fillId="0" borderId="0" xfId="59" applyNumberFormat="1" applyFont="1" applyFill="1" applyBorder="1" applyAlignment="1">
      <alignment wrapText="1"/>
      <protection/>
    </xf>
    <xf numFmtId="0" fontId="0" fillId="0" borderId="22" xfId="59" applyFont="1" applyBorder="1" applyAlignment="1">
      <alignment horizontal="center"/>
      <protection/>
    </xf>
    <xf numFmtId="2" fontId="0" fillId="0" borderId="22" xfId="0" applyNumberFormat="1" applyFont="1" applyBorder="1" applyAlignment="1">
      <alignment/>
    </xf>
    <xf numFmtId="0" fontId="0" fillId="0" borderId="22" xfId="0" applyFont="1" applyBorder="1" applyAlignment="1">
      <alignment/>
    </xf>
    <xf numFmtId="4" fontId="4" fillId="12" borderId="10" xfId="59" applyNumberFormat="1" applyFont="1" applyFill="1" applyBorder="1">
      <alignment/>
      <protection/>
    </xf>
    <xf numFmtId="2" fontId="0" fillId="12" borderId="0" xfId="59" applyNumberFormat="1" applyFont="1" applyFill="1" applyBorder="1" applyAlignment="1">
      <alignment wrapText="1"/>
      <protection/>
    </xf>
    <xf numFmtId="2" fontId="4" fillId="12" borderId="12" xfId="59" applyNumberFormat="1" applyFont="1" applyFill="1" applyBorder="1" applyAlignment="1">
      <alignment vertical="top" wrapText="1"/>
      <protection/>
    </xf>
    <xf numFmtId="2" fontId="4" fillId="12" borderId="11" xfId="59" applyNumberFormat="1" applyFont="1" applyFill="1" applyBorder="1" applyAlignment="1">
      <alignment horizontal="left" vertical="top"/>
      <protection/>
    </xf>
    <xf numFmtId="0" fontId="4" fillId="12" borderId="11" xfId="0" applyFont="1" applyFill="1" applyBorder="1" applyAlignment="1">
      <alignment horizontal="left"/>
    </xf>
    <xf numFmtId="2" fontId="4" fillId="12" borderId="11" xfId="59" applyNumberFormat="1" applyFont="1" applyFill="1" applyBorder="1" applyAlignment="1">
      <alignment vertical="top"/>
      <protection/>
    </xf>
    <xf numFmtId="4" fontId="5" fillId="12" borderId="16" xfId="59" applyNumberFormat="1" applyFont="1" applyFill="1" applyBorder="1" applyAlignment="1">
      <alignment/>
      <protection/>
    </xf>
    <xf numFmtId="4" fontId="5" fillId="12" borderId="11" xfId="59" applyNumberFormat="1" applyFont="1" applyFill="1" applyBorder="1">
      <alignment/>
      <protection/>
    </xf>
    <xf numFmtId="4" fontId="5" fillId="12" borderId="16" xfId="59" applyNumberFormat="1" applyFont="1" applyFill="1" applyBorder="1">
      <alignment/>
      <protection/>
    </xf>
    <xf numFmtId="2" fontId="4" fillId="12" borderId="12" xfId="59" applyNumberFormat="1" applyFont="1" applyFill="1" applyBorder="1" applyAlignment="1">
      <alignment wrapText="1"/>
      <protection/>
    </xf>
    <xf numFmtId="0" fontId="5" fillId="12" borderId="11" xfId="59" applyFont="1" applyFill="1" applyBorder="1" applyAlignment="1">
      <alignment horizontal="center"/>
      <protection/>
    </xf>
    <xf numFmtId="0" fontId="0" fillId="0" borderId="10" xfId="0" applyNumberFormat="1" applyFont="1" applyFill="1" applyBorder="1" applyAlignment="1" applyProtection="1">
      <alignment horizontal="justify" vertical="top" wrapText="1"/>
      <protection/>
    </xf>
    <xf numFmtId="4" fontId="4" fillId="12" borderId="15" xfId="59" applyNumberFormat="1" applyFont="1" applyFill="1" applyBorder="1" applyAlignment="1">
      <alignment horizontal="right" vertical="top"/>
      <protection/>
    </xf>
    <xf numFmtId="0" fontId="4" fillId="12" borderId="11" xfId="59" applyFont="1" applyFill="1" applyBorder="1" applyAlignment="1">
      <alignment horizontal="center"/>
      <protection/>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justify" wrapText="1"/>
    </xf>
    <xf numFmtId="0" fontId="0" fillId="0" borderId="10" xfId="0" applyNumberFormat="1" applyFont="1" applyBorder="1" applyAlignment="1">
      <alignment horizontal="justify" vertical="top" wrapText="1"/>
    </xf>
    <xf numFmtId="0" fontId="0" fillId="0" borderId="10" xfId="0" applyFont="1" applyBorder="1" applyAlignment="1">
      <alignment vertical="top"/>
    </xf>
    <xf numFmtId="0" fontId="0" fillId="0" borderId="10" xfId="0" applyFont="1" applyBorder="1" applyAlignment="1">
      <alignment vertical="justify" wrapText="1"/>
    </xf>
    <xf numFmtId="49" fontId="0" fillId="0" borderId="10" xfId="0" applyNumberFormat="1" applyFont="1" applyBorder="1" applyAlignment="1">
      <alignment horizontal="center" vertical="top"/>
    </xf>
    <xf numFmtId="0" fontId="0" fillId="0" borderId="10" xfId="0" applyBorder="1" applyAlignment="1">
      <alignment/>
    </xf>
    <xf numFmtId="49" fontId="0" fillId="0" borderId="10" xfId="0" applyNumberFormat="1" applyFont="1" applyBorder="1" applyAlignment="1">
      <alignment horizontal="center"/>
    </xf>
    <xf numFmtId="0" fontId="0" fillId="0" borderId="10" xfId="0" applyNumberFormat="1" applyFont="1" applyBorder="1" applyAlignment="1" quotePrefix="1">
      <alignment horizontal="justify" vertical="top" wrapText="1"/>
    </xf>
    <xf numFmtId="49" fontId="0" fillId="0" borderId="10" xfId="0" applyNumberFormat="1" applyFont="1" applyBorder="1" applyAlignment="1">
      <alignment horizontal="justify" vertical="top" wrapText="1"/>
    </xf>
    <xf numFmtId="49" fontId="0" fillId="0" borderId="10" xfId="0" applyNumberFormat="1" applyFont="1" applyBorder="1" applyAlignment="1">
      <alignment horizontal="justify" wrapText="1"/>
    </xf>
    <xf numFmtId="0" fontId="0" fillId="0" borderId="10" xfId="0" applyFont="1" applyBorder="1" applyAlignment="1">
      <alignment horizontal="center" vertical="top"/>
    </xf>
    <xf numFmtId="0" fontId="0" fillId="0" borderId="10" xfId="0" applyNumberFormat="1" applyFont="1" applyBorder="1" applyAlignment="1">
      <alignment horizontal="center" vertical="top"/>
    </xf>
    <xf numFmtId="4" fontId="0" fillId="0" borderId="10" xfId="0" applyNumberFormat="1" applyFill="1" applyBorder="1" applyAlignment="1">
      <alignment horizontal="justify" vertical="top" wrapText="1"/>
    </xf>
    <xf numFmtId="0" fontId="0" fillId="0" borderId="10" xfId="0" applyNumberFormat="1" applyBorder="1" applyAlignment="1">
      <alignment horizontal="center"/>
    </xf>
    <xf numFmtId="4" fontId="0" fillId="0" borderId="10" xfId="0" applyNumberFormat="1" applyFont="1" applyBorder="1" applyAlignment="1">
      <alignment horizontal="justify" vertical="top" wrapText="1"/>
    </xf>
    <xf numFmtId="0" fontId="0" fillId="0" borderId="10" xfId="0" applyNumberFormat="1" applyFont="1" applyBorder="1" applyAlignment="1">
      <alignment horizontal="center"/>
    </xf>
    <xf numFmtId="4" fontId="0" fillId="0" borderId="10" xfId="0" applyNumberFormat="1" applyFont="1" applyBorder="1" applyAlignment="1">
      <alignment/>
    </xf>
    <xf numFmtId="4" fontId="0" fillId="0" borderId="10" xfId="0" applyNumberFormat="1" applyBorder="1" applyAlignment="1">
      <alignment horizontal="justify" vertical="top"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justify" vertical="top"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justify" vertical="top" wrapText="1"/>
    </xf>
    <xf numFmtId="0" fontId="0" fillId="0" borderId="10" xfId="0" applyFont="1" applyBorder="1" applyAlignment="1">
      <alignment horizontal="justify" wrapText="1"/>
    </xf>
    <xf numFmtId="0" fontId="0" fillId="0" borderId="10" xfId="0" applyNumberFormat="1" applyFont="1" applyFill="1" applyBorder="1" applyAlignment="1">
      <alignment horizontal="justify" vertical="top" wrapText="1"/>
    </xf>
    <xf numFmtId="0" fontId="78" fillId="0" borderId="10" xfId="0" applyNumberFormat="1" applyFont="1" applyFill="1" applyBorder="1" applyAlignment="1">
      <alignment horizontal="justify" vertical="top" wrapText="1"/>
    </xf>
    <xf numFmtId="0" fontId="78" fillId="0" borderId="10" xfId="0" applyFont="1" applyFill="1" applyBorder="1" applyAlignment="1">
      <alignment horizontal="justify" vertical="top" wrapText="1"/>
    </xf>
    <xf numFmtId="0" fontId="0" fillId="0" borderId="10" xfId="0" applyNumberFormat="1" applyBorder="1" applyAlignment="1">
      <alignment horizontal="center" vertical="top"/>
    </xf>
    <xf numFmtId="4" fontId="0" fillId="0" borderId="10" xfId="0" applyNumberFormat="1" applyBorder="1" applyAlignment="1">
      <alignment horizontal="center"/>
    </xf>
    <xf numFmtId="0" fontId="1" fillId="38" borderId="10" xfId="0" applyFont="1" applyFill="1" applyBorder="1" applyAlignment="1">
      <alignment horizontal="center" vertical="center" wrapText="1"/>
    </xf>
    <xf numFmtId="49" fontId="1" fillId="38" borderId="10" xfId="0" applyNumberFormat="1" applyFont="1" applyFill="1" applyBorder="1" applyAlignment="1">
      <alignment horizontal="left" vertical="center" wrapText="1"/>
    </xf>
    <xf numFmtId="49" fontId="1" fillId="38" borderId="10" xfId="0" applyNumberFormat="1" applyFont="1" applyFill="1" applyBorder="1" applyAlignment="1">
      <alignment horizontal="center" vertical="center" wrapText="1"/>
    </xf>
    <xf numFmtId="4" fontId="0" fillId="38" borderId="10" xfId="0" applyNumberFormat="1"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72" fillId="38" borderId="0" xfId="0" applyFont="1" applyFill="1" applyAlignment="1">
      <alignment horizontal="center"/>
    </xf>
    <xf numFmtId="0" fontId="0" fillId="38" borderId="0" xfId="0" applyFill="1" applyAlignment="1">
      <alignment/>
    </xf>
    <xf numFmtId="4" fontId="0" fillId="38" borderId="10" xfId="0" applyNumberFormat="1" applyFill="1" applyBorder="1" applyAlignment="1">
      <alignment/>
    </xf>
    <xf numFmtId="49" fontId="0" fillId="38" borderId="10" xfId="0" applyNumberFormat="1" applyFont="1" applyFill="1" applyBorder="1" applyAlignment="1">
      <alignment horizontal="center" vertical="center"/>
    </xf>
    <xf numFmtId="49" fontId="1" fillId="38" borderId="10" xfId="0" applyNumberFormat="1" applyFont="1" applyFill="1" applyBorder="1" applyAlignment="1">
      <alignment horizontal="left" vertical="top" wrapText="1"/>
    </xf>
    <xf numFmtId="49" fontId="1" fillId="38" borderId="10" xfId="0" applyNumberFormat="1" applyFont="1" applyFill="1" applyBorder="1" applyAlignment="1">
      <alignment horizontal="left" vertical="top"/>
    </xf>
    <xf numFmtId="4" fontId="0" fillId="38" borderId="10" xfId="0" applyNumberFormat="1" applyFont="1" applyFill="1" applyBorder="1" applyAlignment="1">
      <alignment horizontal="left" vertical="top"/>
    </xf>
    <xf numFmtId="4" fontId="1" fillId="38" borderId="10" xfId="0" applyNumberFormat="1" applyFont="1" applyFill="1" applyBorder="1" applyAlignment="1">
      <alignment/>
    </xf>
    <xf numFmtId="4" fontId="4" fillId="38" borderId="10" xfId="0" applyNumberFormat="1" applyFont="1" applyFill="1" applyBorder="1" applyAlignment="1">
      <alignment/>
    </xf>
    <xf numFmtId="4" fontId="0" fillId="0" borderId="13" xfId="0" applyNumberFormat="1" applyBorder="1" applyAlignment="1">
      <alignment/>
    </xf>
    <xf numFmtId="4" fontId="0" fillId="0" borderId="15" xfId="0" applyNumberFormat="1" applyBorder="1" applyAlignment="1">
      <alignment/>
    </xf>
    <xf numFmtId="49" fontId="1" fillId="24" borderId="12" xfId="0" applyNumberFormat="1" applyFont="1" applyFill="1" applyBorder="1" applyAlignment="1">
      <alignment horizontal="center" vertical="center"/>
    </xf>
    <xf numFmtId="49" fontId="1" fillId="24" borderId="11" xfId="0" applyNumberFormat="1" applyFont="1" applyFill="1" applyBorder="1" applyAlignment="1">
      <alignment horizontal="center" wrapText="1"/>
    </xf>
    <xf numFmtId="49" fontId="0" fillId="24" borderId="11" xfId="0" applyNumberFormat="1" applyFont="1" applyFill="1" applyBorder="1" applyAlignment="1">
      <alignment horizontal="center"/>
    </xf>
    <xf numFmtId="4" fontId="0" fillId="24" borderId="11" xfId="0" applyNumberFormat="1" applyFont="1" applyFill="1" applyBorder="1" applyAlignment="1">
      <alignment/>
    </xf>
    <xf numFmtId="0" fontId="72" fillId="24" borderId="11" xfId="0" applyFont="1" applyFill="1" applyBorder="1" applyAlignment="1">
      <alignment horizontal="center"/>
    </xf>
    <xf numFmtId="0" fontId="0" fillId="24" borderId="11" xfId="0" applyFill="1" applyBorder="1" applyAlignment="1">
      <alignment/>
    </xf>
    <xf numFmtId="4" fontId="0" fillId="24" borderId="10" xfId="0" applyNumberFormat="1" applyFill="1" applyBorder="1" applyAlignment="1">
      <alignment/>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49" fontId="0" fillId="0" borderId="10" xfId="0" applyNumberFormat="1" applyFont="1" applyBorder="1" applyAlignment="1">
      <alignment horizontal="center" vertical="top"/>
    </xf>
    <xf numFmtId="3" fontId="0" fillId="0" borderId="10" xfId="0" applyNumberFormat="1" applyFont="1" applyBorder="1" applyAlignment="1">
      <alignment/>
    </xf>
    <xf numFmtId="0" fontId="0" fillId="0" borderId="10" xfId="0" applyNumberFormat="1" applyFont="1" applyBorder="1" applyAlignment="1">
      <alignment horizontal="center" vertical="top"/>
    </xf>
    <xf numFmtId="4" fontId="0" fillId="0" borderId="10" xfId="0" applyNumberFormat="1" applyFont="1" applyBorder="1" applyAlignment="1">
      <alignment horizontal="justify" vertical="top" wrapText="1"/>
    </xf>
    <xf numFmtId="49" fontId="73" fillId="0" borderId="10" xfId="0" applyNumberFormat="1" applyFont="1" applyBorder="1" applyAlignment="1">
      <alignment horizontal="center" vertical="top"/>
    </xf>
    <xf numFmtId="0" fontId="0" fillId="0" borderId="10" xfId="0" applyFont="1" applyBorder="1" applyAlignment="1">
      <alignment/>
    </xf>
    <xf numFmtId="4" fontId="0" fillId="0" borderId="10" xfId="0" applyNumberFormat="1" applyFont="1" applyFill="1" applyBorder="1" applyAlignment="1">
      <alignment horizontal="justify" vertical="top" wrapText="1"/>
    </xf>
    <xf numFmtId="0" fontId="0" fillId="0" borderId="10" xfId="0" applyNumberFormat="1" applyFont="1" applyFill="1" applyBorder="1" applyAlignment="1">
      <alignment horizontal="center"/>
    </xf>
    <xf numFmtId="0" fontId="73" fillId="0" borderId="10" xfId="0" applyNumberFormat="1" applyFont="1" applyBorder="1" applyAlignment="1">
      <alignment horizontal="center" vertical="top"/>
    </xf>
    <xf numFmtId="0" fontId="73" fillId="0" borderId="10"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NumberFormat="1" applyFill="1" applyBorder="1" applyAlignment="1">
      <alignment horizontal="center"/>
    </xf>
    <xf numFmtId="49" fontId="0" fillId="0" borderId="10" xfId="0" applyNumberFormat="1" applyFont="1" applyFill="1" applyBorder="1" applyAlignment="1">
      <alignment horizontal="center" vertical="top"/>
    </xf>
    <xf numFmtId="0" fontId="0" fillId="0" borderId="10" xfId="0" applyFont="1" applyFill="1" applyBorder="1" applyAlignment="1">
      <alignment vertical="top"/>
    </xf>
    <xf numFmtId="1" fontId="0" fillId="0" borderId="10" xfId="0" applyNumberFormat="1" applyFont="1" applyFill="1" applyBorder="1" applyAlignment="1">
      <alignment/>
    </xf>
    <xf numFmtId="3" fontId="0" fillId="0" borderId="10" xfId="0" applyNumberFormat="1" applyFont="1" applyFill="1" applyBorder="1" applyAlignment="1">
      <alignment/>
    </xf>
    <xf numFmtId="0" fontId="0" fillId="0" borderId="10" xfId="0" applyNumberFormat="1" applyFont="1" applyFill="1" applyBorder="1" applyAlignment="1" applyProtection="1">
      <alignment horizontal="justify" vertical="top" wrapText="1"/>
      <protection/>
    </xf>
    <xf numFmtId="0" fontId="0" fillId="0" borderId="10" xfId="0" applyNumberFormat="1" applyFont="1" applyFill="1" applyBorder="1" applyAlignment="1" applyProtection="1">
      <alignment horizontal="center"/>
      <protection/>
    </xf>
    <xf numFmtId="4" fontId="0" fillId="0" borderId="10" xfId="0" applyNumberFormat="1" applyFont="1" applyFill="1" applyBorder="1" applyAlignment="1" applyProtection="1">
      <alignment horizontal="right"/>
      <protection/>
    </xf>
    <xf numFmtId="2" fontId="0" fillId="0" borderId="10" xfId="0" applyNumberFormat="1" applyFont="1" applyFill="1" applyBorder="1" applyAlignment="1">
      <alignment/>
    </xf>
    <xf numFmtId="0" fontId="9" fillId="0" borderId="10" xfId="0" applyNumberFormat="1" applyFont="1" applyBorder="1" applyAlignment="1">
      <alignment horizontal="center" vertical="top"/>
    </xf>
    <xf numFmtId="0" fontId="0" fillId="0" borderId="10" xfId="0" applyNumberFormat="1" applyFont="1" applyBorder="1" applyAlignment="1">
      <alignment horizontal="center"/>
    </xf>
    <xf numFmtId="11" fontId="0" fillId="0" borderId="10" xfId="0" applyNumberFormat="1" applyFont="1" applyBorder="1" applyAlignment="1">
      <alignment horizontal="justify" vertical="top" wrapText="1"/>
    </xf>
    <xf numFmtId="49" fontId="4" fillId="0" borderId="10" xfId="0" applyNumberFormat="1" applyFont="1" applyBorder="1" applyAlignment="1">
      <alignment horizontal="center" vertical="center"/>
    </xf>
    <xf numFmtId="0" fontId="0" fillId="24" borderId="10" xfId="0" applyFont="1" applyFill="1" applyBorder="1" applyAlignment="1">
      <alignment horizontal="center"/>
    </xf>
    <xf numFmtId="4" fontId="1" fillId="24" borderId="10" xfId="0" applyNumberFormat="1" applyFont="1" applyFill="1" applyBorder="1" applyAlignment="1">
      <alignment/>
    </xf>
    <xf numFmtId="0" fontId="72" fillId="24" borderId="0" xfId="0" applyFont="1" applyFill="1" applyAlignment="1">
      <alignment horizontal="center"/>
    </xf>
    <xf numFmtId="0" fontId="0" fillId="24" borderId="0" xfId="0" applyFill="1" applyAlignment="1">
      <alignment/>
    </xf>
    <xf numFmtId="4" fontId="4" fillId="24" borderId="10" xfId="0" applyNumberFormat="1" applyFont="1" applyFill="1" applyBorder="1" applyAlignment="1">
      <alignment/>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justify" wrapText="1"/>
    </xf>
    <xf numFmtId="0" fontId="0" fillId="0" borderId="10" xfId="0" applyNumberFormat="1" applyFont="1" applyFill="1" applyBorder="1" applyAlignment="1">
      <alignment/>
    </xf>
    <xf numFmtId="0" fontId="73" fillId="0" borderId="10" xfId="0" applyFont="1" applyFill="1" applyBorder="1" applyAlignment="1">
      <alignment vertical="top"/>
    </xf>
    <xf numFmtId="0" fontId="0" fillId="0" borderId="10" xfId="0" applyFont="1" applyFill="1" applyBorder="1" applyAlignment="1">
      <alignment vertical="justify" wrapText="1"/>
    </xf>
    <xf numFmtId="0" fontId="0" fillId="0" borderId="10" xfId="0" applyNumberFormat="1" applyFont="1" applyFill="1" applyBorder="1" applyAlignment="1">
      <alignment horizontal="center" vertical="top"/>
    </xf>
    <xf numFmtId="4" fontId="74" fillId="0" borderId="10" xfId="0" applyNumberFormat="1" applyFont="1" applyFill="1" applyBorder="1" applyAlignment="1">
      <alignment horizontal="justify" vertical="top" wrapText="1"/>
    </xf>
    <xf numFmtId="0" fontId="73" fillId="0" borderId="10" xfId="0" applyNumberFormat="1" applyFont="1" applyFill="1" applyBorder="1" applyAlignment="1">
      <alignment horizontal="center" vertical="top"/>
    </xf>
    <xf numFmtId="4" fontId="0" fillId="0" borderId="10" xfId="0" applyNumberFormat="1" applyFont="1" applyFill="1" applyBorder="1" applyAlignment="1">
      <alignment horizontal="left" vertical="top" wrapText="1"/>
    </xf>
    <xf numFmtId="0" fontId="0" fillId="0" borderId="10" xfId="0" applyFill="1" applyBorder="1" applyAlignment="1">
      <alignment/>
    </xf>
    <xf numFmtId="0" fontId="0" fillId="0" borderId="10" xfId="0" applyNumberFormat="1" applyFont="1" applyFill="1" applyBorder="1" applyAlignment="1">
      <alignment horizontal="justify" wrapText="1"/>
    </xf>
    <xf numFmtId="0" fontId="73" fillId="0" borderId="10" xfId="0" applyFont="1" applyFill="1" applyBorder="1" applyAlignment="1">
      <alignment horizontal="justify" vertical="top" wrapText="1"/>
    </xf>
    <xf numFmtId="0" fontId="73" fillId="0" borderId="10" xfId="0" applyFont="1" applyFill="1" applyBorder="1" applyAlignment="1">
      <alignment horizontal="center"/>
    </xf>
    <xf numFmtId="0" fontId="0" fillId="0" borderId="10" xfId="0" applyFont="1" applyFill="1" applyBorder="1" applyAlignment="1">
      <alignment wrapText="1"/>
    </xf>
    <xf numFmtId="0" fontId="1" fillId="0" borderId="10" xfId="0" applyNumberFormat="1" applyFont="1" applyFill="1" applyBorder="1" applyAlignment="1">
      <alignment/>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xf>
    <xf numFmtId="0" fontId="0" fillId="0" borderId="10" xfId="0" applyFont="1" applyFill="1" applyBorder="1" applyAlignment="1" quotePrefix="1">
      <alignment horizontal="justify" wrapText="1"/>
    </xf>
    <xf numFmtId="49" fontId="0"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0" fillId="0" borderId="10" xfId="0" applyFont="1" applyFill="1" applyBorder="1" applyAlignment="1">
      <alignment horizontal="justify" vertical="justify" wrapText="1"/>
    </xf>
    <xf numFmtId="11" fontId="0" fillId="0" borderId="10" xfId="0" applyNumberFormat="1" applyFont="1" applyFill="1" applyBorder="1" applyAlignment="1">
      <alignment horizontal="justify" vertical="top" wrapText="1"/>
    </xf>
    <xf numFmtId="49" fontId="1" fillId="0" borderId="10" xfId="0" applyNumberFormat="1" applyFont="1" applyFill="1" applyBorder="1" applyAlignment="1">
      <alignment horizontal="center" vertical="center"/>
    </xf>
    <xf numFmtId="0" fontId="0" fillId="0" borderId="10" xfId="0" applyNumberFormat="1" applyFont="1" applyBorder="1" applyAlignment="1">
      <alignment/>
    </xf>
    <xf numFmtId="0" fontId="9" fillId="0" borderId="10" xfId="0" applyFont="1" applyBorder="1" applyAlignment="1">
      <alignment horizontal="center" vertical="top"/>
    </xf>
    <xf numFmtId="4" fontId="0" fillId="0" borderId="10" xfId="0" applyNumberFormat="1" applyFont="1" applyBorder="1" applyAlignment="1">
      <alignment/>
    </xf>
    <xf numFmtId="0" fontId="0" fillId="0" borderId="10" xfId="0" applyFont="1" applyFill="1" applyBorder="1" applyAlignment="1">
      <alignment/>
    </xf>
    <xf numFmtId="49" fontId="0" fillId="0" borderId="10" xfId="0" applyNumberFormat="1" applyFont="1" applyBorder="1" applyAlignment="1">
      <alignment horizontal="center"/>
    </xf>
    <xf numFmtId="0" fontId="0" fillId="0" borderId="10" xfId="0" applyFont="1" applyBorder="1" applyAlignment="1">
      <alignment horizontal="justify" vertical="top" wrapText="1"/>
    </xf>
    <xf numFmtId="0" fontId="0" fillId="0" borderId="10" xfId="0" applyFont="1" applyBorder="1" applyAlignment="1">
      <alignment/>
    </xf>
    <xf numFmtId="0" fontId="79" fillId="0" borderId="10" xfId="0" applyFont="1" applyBorder="1" applyAlignment="1">
      <alignment horizontal="center" vertical="top"/>
    </xf>
    <xf numFmtId="0" fontId="79" fillId="0" borderId="10" xfId="0" applyFont="1" applyBorder="1" applyAlignment="1">
      <alignment horizontal="justify" vertical="top" wrapText="1"/>
    </xf>
    <xf numFmtId="0" fontId="79" fillId="0" borderId="10" xfId="0" applyFont="1" applyBorder="1" applyAlignment="1">
      <alignment wrapText="1"/>
    </xf>
    <xf numFmtId="0" fontId="79" fillId="0" borderId="10" xfId="0" applyFont="1" applyBorder="1" applyAlignment="1">
      <alignment horizontal="center"/>
    </xf>
    <xf numFmtId="4" fontId="79" fillId="0" borderId="10" xfId="0" applyNumberFormat="1" applyFont="1" applyBorder="1" applyAlignment="1">
      <alignment/>
    </xf>
    <xf numFmtId="0" fontId="1" fillId="39" borderId="10" xfId="0" applyFont="1" applyFill="1" applyBorder="1" applyAlignment="1">
      <alignment horizontal="center" vertical="center" wrapText="1"/>
    </xf>
    <xf numFmtId="49" fontId="1" fillId="39" borderId="10" xfId="0" applyNumberFormat="1" applyFont="1" applyFill="1" applyBorder="1" applyAlignment="1">
      <alignment horizontal="left" vertical="center" wrapText="1"/>
    </xf>
    <xf numFmtId="49" fontId="1" fillId="39" borderId="10" xfId="0" applyNumberFormat="1" applyFont="1" applyFill="1" applyBorder="1" applyAlignment="1">
      <alignment horizontal="center" vertical="center" wrapText="1"/>
    </xf>
    <xf numFmtId="0" fontId="1" fillId="39" borderId="10" xfId="0" applyNumberFormat="1" applyFont="1" applyFill="1" applyBorder="1" applyAlignment="1">
      <alignment horizontal="center" vertical="center" wrapText="1"/>
    </xf>
    <xf numFmtId="4" fontId="1" fillId="39" borderId="10" xfId="0" applyNumberFormat="1" applyFont="1" applyFill="1" applyBorder="1" applyAlignment="1">
      <alignment horizontal="center" vertical="center" wrapText="1"/>
    </xf>
    <xf numFmtId="0" fontId="72" fillId="39" borderId="0" xfId="0" applyFont="1" applyFill="1" applyAlignment="1">
      <alignment horizontal="center"/>
    </xf>
    <xf numFmtId="0" fontId="0" fillId="39" borderId="0" xfId="0" applyFill="1" applyAlignment="1">
      <alignment/>
    </xf>
    <xf numFmtId="4" fontId="0" fillId="39" borderId="10" xfId="0" applyNumberFormat="1" applyFill="1" applyBorder="1" applyAlignment="1">
      <alignment/>
    </xf>
    <xf numFmtId="0" fontId="0" fillId="39" borderId="10" xfId="0" applyFont="1" applyFill="1" applyBorder="1" applyAlignment="1">
      <alignment horizontal="center" vertical="center"/>
    </xf>
    <xf numFmtId="0" fontId="1" fillId="39" borderId="10" xfId="0" applyFont="1" applyFill="1" applyBorder="1" applyAlignment="1">
      <alignment vertical="justify" wrapText="1"/>
    </xf>
    <xf numFmtId="0" fontId="0" fillId="39" borderId="10" xfId="0" applyFont="1" applyFill="1" applyBorder="1" applyAlignment="1">
      <alignment/>
    </xf>
    <xf numFmtId="0" fontId="0" fillId="39" borderId="10" xfId="0" applyNumberFormat="1" applyFont="1" applyFill="1" applyBorder="1" applyAlignment="1">
      <alignment/>
    </xf>
    <xf numFmtId="4" fontId="0" fillId="39" borderId="10" xfId="0" applyNumberFormat="1" applyFont="1" applyFill="1" applyBorder="1" applyAlignment="1">
      <alignment/>
    </xf>
    <xf numFmtId="4" fontId="1" fillId="39" borderId="10" xfId="0" applyNumberFormat="1" applyFont="1" applyFill="1" applyBorder="1" applyAlignment="1">
      <alignment/>
    </xf>
    <xf numFmtId="0" fontId="72" fillId="39" borderId="0" xfId="0" applyFont="1" applyFill="1" applyAlignment="1" applyProtection="1">
      <alignment horizontal="center"/>
      <protection/>
    </xf>
    <xf numFmtId="0" fontId="0" fillId="39" borderId="0" xfId="0" applyFont="1" applyFill="1" applyAlignment="1" applyProtection="1">
      <alignment horizontal="justify" vertical="top" wrapText="1"/>
      <protection/>
    </xf>
    <xf numFmtId="0" fontId="0" fillId="39" borderId="0" xfId="0" applyFont="1" applyFill="1" applyAlignment="1">
      <alignment/>
    </xf>
    <xf numFmtId="4" fontId="1" fillId="39" borderId="10" xfId="0" applyNumberFormat="1" applyFont="1" applyFill="1" applyBorder="1" applyAlignment="1">
      <alignment/>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left" wrapText="1"/>
    </xf>
    <xf numFmtId="49" fontId="0" fillId="15" borderId="10" xfId="0" applyNumberFormat="1" applyFont="1" applyFill="1" applyBorder="1" applyAlignment="1">
      <alignment horizontal="center"/>
    </xf>
    <xf numFmtId="0" fontId="0" fillId="15" borderId="10" xfId="0" applyNumberFormat="1" applyFont="1" applyFill="1" applyBorder="1" applyAlignment="1">
      <alignment/>
    </xf>
    <xf numFmtId="4" fontId="0" fillId="15" borderId="10" xfId="0" applyNumberFormat="1" applyFont="1" applyFill="1" applyBorder="1" applyAlignment="1">
      <alignment/>
    </xf>
    <xf numFmtId="0" fontId="72" fillId="15" borderId="0" xfId="0" applyFont="1" applyFill="1" applyAlignment="1">
      <alignment horizontal="center"/>
    </xf>
    <xf numFmtId="0" fontId="0" fillId="15" borderId="0" xfId="0" applyFill="1" applyAlignment="1">
      <alignment/>
    </xf>
    <xf numFmtId="4" fontId="0" fillId="15" borderId="10" xfId="0" applyNumberFormat="1" applyFill="1" applyBorder="1" applyAlignment="1">
      <alignment/>
    </xf>
    <xf numFmtId="49" fontId="4" fillId="15" borderId="10" xfId="0" applyNumberFormat="1" applyFont="1" applyFill="1" applyBorder="1" applyAlignment="1">
      <alignment horizontal="center"/>
    </xf>
    <xf numFmtId="49" fontId="1" fillId="15" borderId="10" xfId="0" applyNumberFormat="1" applyFont="1" applyFill="1" applyBorder="1" applyAlignment="1">
      <alignment wrapText="1"/>
    </xf>
    <xf numFmtId="0" fontId="1" fillId="15" borderId="10" xfId="0" applyFont="1" applyFill="1" applyBorder="1" applyAlignment="1">
      <alignment/>
    </xf>
    <xf numFmtId="0" fontId="1" fillId="15" borderId="10" xfId="0" applyNumberFormat="1" applyFont="1" applyFill="1" applyBorder="1" applyAlignment="1">
      <alignment/>
    </xf>
    <xf numFmtId="4" fontId="1" fillId="15" borderId="10" xfId="0" applyNumberFormat="1" applyFont="1" applyFill="1" applyBorder="1" applyAlignment="1">
      <alignment/>
    </xf>
    <xf numFmtId="4" fontId="1" fillId="15" borderId="10" xfId="0" applyNumberFormat="1" applyFont="1" applyFill="1" applyBorder="1" applyAlignment="1">
      <alignment/>
    </xf>
    <xf numFmtId="49" fontId="1" fillId="40" borderId="10" xfId="0" applyNumberFormat="1" applyFont="1" applyFill="1" applyBorder="1" applyAlignment="1">
      <alignment horizontal="center" vertical="center"/>
    </xf>
    <xf numFmtId="49" fontId="1" fillId="40" borderId="10" xfId="0" applyNumberFormat="1" applyFont="1" applyFill="1" applyBorder="1" applyAlignment="1">
      <alignment horizontal="center" wrapText="1"/>
    </xf>
    <xf numFmtId="49" fontId="0" fillId="40" borderId="10" xfId="0" applyNumberFormat="1" applyFont="1" applyFill="1" applyBorder="1" applyAlignment="1">
      <alignment horizontal="center"/>
    </xf>
    <xf numFmtId="0" fontId="0" fillId="40" borderId="10" xfId="0" applyNumberFormat="1" applyFont="1" applyFill="1" applyBorder="1" applyAlignment="1">
      <alignment/>
    </xf>
    <xf numFmtId="4" fontId="0" fillId="40" borderId="10" xfId="0" applyNumberFormat="1" applyFont="1" applyFill="1" applyBorder="1" applyAlignment="1">
      <alignment/>
    </xf>
    <xf numFmtId="0" fontId="0" fillId="0" borderId="10" xfId="0" applyFont="1" applyFill="1" applyBorder="1" applyAlignment="1">
      <alignment horizontal="justify" vertical="top" wrapText="1"/>
    </xf>
    <xf numFmtId="0" fontId="0" fillId="0" borderId="10" xfId="0" applyNumberFormat="1" applyFont="1" applyFill="1" applyBorder="1" applyAlignment="1">
      <alignment horizontal="justify" vertical="top" wrapText="1"/>
    </xf>
    <xf numFmtId="0" fontId="0" fillId="0" borderId="10" xfId="0" applyFont="1" applyBorder="1" applyAlignment="1">
      <alignment wrapText="1"/>
    </xf>
    <xf numFmtId="0" fontId="0" fillId="0" borderId="10" xfId="0" applyNumberFormat="1" applyFont="1" applyBorder="1" applyAlignment="1">
      <alignment/>
    </xf>
    <xf numFmtId="0" fontId="0" fillId="0" borderId="10" xfId="59" applyNumberFormat="1" applyFont="1" applyBorder="1" applyAlignment="1">
      <alignment horizontal="right" wrapText="1"/>
      <protection/>
    </xf>
    <xf numFmtId="0" fontId="0" fillId="0" borderId="10" xfId="0" applyFont="1" applyBorder="1" applyAlignment="1">
      <alignment horizontal="justify" vertical="justify"/>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NumberFormat="1" applyFont="1" applyBorder="1" applyAlignment="1">
      <alignment horizontal="right"/>
    </xf>
    <xf numFmtId="4" fontId="0" fillId="0" borderId="10" xfId="59" applyNumberFormat="1" applyFont="1" applyBorder="1" applyAlignment="1">
      <alignment horizontal="center"/>
      <protection/>
    </xf>
    <xf numFmtId="0" fontId="0" fillId="0" borderId="10" xfId="0" applyFont="1" applyFill="1" applyBorder="1" applyAlignment="1">
      <alignment horizontal="left" vertical="top" wrapText="1"/>
    </xf>
    <xf numFmtId="0" fontId="0" fillId="0" borderId="10" xfId="0" applyFont="1" applyFill="1" applyBorder="1" applyAlignment="1">
      <alignment horizontal="justify" vertical="distributed" wrapText="1"/>
    </xf>
    <xf numFmtId="0" fontId="0" fillId="0" borderId="10" xfId="0" applyFont="1" applyBorder="1" applyAlignment="1">
      <alignment horizontal="justify" vertical="top" wrapText="1"/>
    </xf>
    <xf numFmtId="0" fontId="0" fillId="0" borderId="10" xfId="0" applyNumberFormat="1" applyFont="1" applyFill="1" applyBorder="1" applyAlignment="1">
      <alignment horizontal="justify" vertical="distributed" wrapText="1"/>
    </xf>
    <xf numFmtId="0" fontId="0" fillId="0" borderId="10" xfId="59" applyNumberFormat="1" applyFont="1" applyBorder="1" applyAlignment="1">
      <alignment wrapText="1"/>
      <protection/>
    </xf>
    <xf numFmtId="0" fontId="0" fillId="0" borderId="10" xfId="0" applyFont="1" applyBorder="1" applyAlignment="1">
      <alignment horizontal="justify" vertical="justify" wrapText="1"/>
    </xf>
    <xf numFmtId="3" fontId="0" fillId="0" borderId="10" xfId="59" applyNumberFormat="1" applyFont="1" applyBorder="1" applyAlignment="1">
      <alignment horizontal="center" vertical="top"/>
      <protection/>
    </xf>
    <xf numFmtId="0" fontId="78" fillId="0" borderId="10" xfId="0" applyFont="1" applyBorder="1" applyAlignment="1">
      <alignment horizontal="justify" wrapText="1"/>
    </xf>
    <xf numFmtId="0" fontId="0" fillId="0" borderId="10" xfId="0" applyFont="1" applyBorder="1" applyAlignment="1" applyProtection="1">
      <alignment horizontal="justify" vertical="top" wrapText="1"/>
      <protection/>
    </xf>
    <xf numFmtId="0" fontId="0" fillId="0" borderId="10" xfId="0" applyFont="1" applyBorder="1" applyAlignment="1">
      <alignment horizontal="center" vertical="center"/>
    </xf>
    <xf numFmtId="0" fontId="9" fillId="40" borderId="10" xfId="0" applyFont="1" applyFill="1" applyBorder="1" applyAlignment="1">
      <alignment horizontal="center"/>
    </xf>
    <xf numFmtId="4" fontId="1" fillId="40" borderId="10" xfId="0" applyNumberFormat="1" applyFont="1" applyFill="1" applyBorder="1" applyAlignment="1">
      <alignment/>
    </xf>
    <xf numFmtId="0" fontId="9" fillId="0" borderId="10" xfId="0" applyFont="1" applyFill="1" applyBorder="1" applyAlignment="1">
      <alignment horizontal="center"/>
    </xf>
    <xf numFmtId="0" fontId="1" fillId="0" borderId="10" xfId="0" applyNumberFormat="1" applyFont="1" applyFill="1" applyBorder="1" applyAlignment="1">
      <alignment horizontal="left" vertical="top"/>
    </xf>
    <xf numFmtId="49" fontId="1" fillId="0" borderId="10" xfId="57" applyNumberFormat="1" applyFont="1" applyFill="1" applyBorder="1" applyAlignment="1">
      <alignment horizontal="center" vertical="center"/>
      <protection/>
    </xf>
    <xf numFmtId="49" fontId="1" fillId="0" borderId="10" xfId="57" applyNumberFormat="1" applyFont="1" applyFill="1" applyBorder="1" applyAlignment="1">
      <alignment horizontal="center" wrapText="1"/>
      <protection/>
    </xf>
    <xf numFmtId="49" fontId="0" fillId="0" borderId="10" xfId="57" applyNumberFormat="1" applyFont="1" applyFill="1" applyBorder="1" applyAlignment="1">
      <alignment horizontal="center"/>
      <protection/>
    </xf>
    <xf numFmtId="0" fontId="0" fillId="0" borderId="10" xfId="57" applyNumberFormat="1" applyFont="1" applyFill="1" applyBorder="1">
      <alignment/>
      <protection/>
    </xf>
    <xf numFmtId="4" fontId="0" fillId="0" borderId="10" xfId="57" applyNumberFormat="1" applyFont="1" applyFill="1" applyBorder="1">
      <alignment/>
      <protection/>
    </xf>
    <xf numFmtId="49" fontId="0" fillId="0" borderId="10" xfId="57" applyNumberFormat="1" applyFont="1" applyFill="1" applyBorder="1" applyAlignment="1">
      <alignment horizontal="center" vertical="top"/>
      <protection/>
    </xf>
    <xf numFmtId="0" fontId="0" fillId="0" borderId="10" xfId="57" applyFont="1" applyFill="1" applyBorder="1" applyAlignment="1">
      <alignment horizontal="justify" vertical="top" wrapText="1"/>
      <protection/>
    </xf>
    <xf numFmtId="0" fontId="0" fillId="0" borderId="10" xfId="57" applyFont="1" applyFill="1" applyBorder="1" applyAlignment="1">
      <alignment horizontal="center"/>
      <protection/>
    </xf>
    <xf numFmtId="0" fontId="0" fillId="0" borderId="10" xfId="57" applyFont="1" applyBorder="1" applyAlignment="1">
      <alignment horizontal="center" vertical="top"/>
      <protection/>
    </xf>
    <xf numFmtId="0" fontId="0" fillId="0" borderId="10" xfId="57" applyFont="1" applyBorder="1" applyAlignment="1">
      <alignment horizontal="justify" vertical="top" wrapText="1"/>
      <protection/>
    </xf>
    <xf numFmtId="49" fontId="0" fillId="0" borderId="10" xfId="57" applyNumberFormat="1" applyFont="1" applyBorder="1" applyAlignment="1">
      <alignment horizontal="center"/>
      <protection/>
    </xf>
    <xf numFmtId="0" fontId="0" fillId="0" borderId="10" xfId="57" applyNumberFormat="1" applyFont="1" applyBorder="1">
      <alignment/>
      <protection/>
    </xf>
    <xf numFmtId="4" fontId="0" fillId="0" borderId="10" xfId="57" applyNumberFormat="1" applyFont="1" applyBorder="1">
      <alignment/>
      <protection/>
    </xf>
    <xf numFmtId="0" fontId="0" fillId="0" borderId="10" xfId="57" applyFont="1" applyBorder="1" applyAlignment="1">
      <alignment horizontal="center" vertical="center"/>
      <protection/>
    </xf>
    <xf numFmtId="0" fontId="0" fillId="0" borderId="10" xfId="57" applyBorder="1">
      <alignment/>
      <protection/>
    </xf>
    <xf numFmtId="0" fontId="0" fillId="0" borderId="10" xfId="57" applyNumberFormat="1" applyBorder="1">
      <alignment/>
      <protection/>
    </xf>
    <xf numFmtId="49" fontId="1" fillId="14" borderId="10" xfId="57" applyNumberFormat="1" applyFont="1" applyFill="1" applyBorder="1" applyAlignment="1">
      <alignment horizontal="center" vertical="center"/>
      <protection/>
    </xf>
    <xf numFmtId="49" fontId="1" fillId="14" borderId="10" xfId="57" applyNumberFormat="1" applyFont="1" applyFill="1" applyBorder="1" applyAlignment="1">
      <alignment horizontal="left" wrapText="1"/>
      <protection/>
    </xf>
    <xf numFmtId="49" fontId="0" fillId="14" borderId="10" xfId="57" applyNumberFormat="1" applyFont="1" applyFill="1" applyBorder="1" applyAlignment="1">
      <alignment horizontal="center"/>
      <protection/>
    </xf>
    <xf numFmtId="0" fontId="0" fillId="14" borderId="10" xfId="57" applyNumberFormat="1" applyFont="1" applyFill="1" applyBorder="1">
      <alignment/>
      <protection/>
    </xf>
    <xf numFmtId="4" fontId="0" fillId="14" borderId="10" xfId="57" applyNumberFormat="1" applyFont="1" applyFill="1" applyBorder="1">
      <alignment/>
      <protection/>
    </xf>
    <xf numFmtId="1" fontId="0" fillId="14" borderId="0" xfId="57" applyNumberFormat="1" applyFill="1">
      <alignment/>
      <protection/>
    </xf>
    <xf numFmtId="0" fontId="0" fillId="14" borderId="0" xfId="57" applyFill="1">
      <alignment/>
      <protection/>
    </xf>
    <xf numFmtId="4" fontId="0" fillId="14" borderId="10" xfId="57" applyNumberFormat="1" applyFill="1" applyBorder="1">
      <alignment/>
      <protection/>
    </xf>
    <xf numFmtId="0" fontId="11" fillId="14" borderId="10" xfId="57" applyFont="1" applyFill="1" applyBorder="1" applyAlignment="1">
      <alignment horizontal="center"/>
      <protection/>
    </xf>
    <xf numFmtId="4" fontId="1" fillId="14" borderId="10" xfId="57" applyNumberFormat="1" applyFont="1" applyFill="1" applyBorder="1">
      <alignment/>
      <protection/>
    </xf>
    <xf numFmtId="0" fontId="1" fillId="35" borderId="37"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protection/>
    </xf>
    <xf numFmtId="4" fontId="1" fillId="35" borderId="37" xfId="0" applyNumberFormat="1" applyFont="1" applyFill="1" applyBorder="1" applyAlignment="1" applyProtection="1">
      <alignment horizontal="center" wrapText="1"/>
      <protection/>
    </xf>
    <xf numFmtId="4" fontId="0" fillId="41" borderId="10" xfId="0" applyNumberFormat="1" applyFont="1" applyFill="1" applyBorder="1" applyAlignment="1">
      <alignment vertical="center"/>
    </xf>
    <xf numFmtId="1" fontId="1" fillId="42" borderId="27" xfId="0" applyNumberFormat="1" applyFont="1" applyFill="1" applyBorder="1" applyAlignment="1">
      <alignment vertical="center" wrapText="1"/>
    </xf>
    <xf numFmtId="0" fontId="1" fillId="42" borderId="29" xfId="0" applyFont="1" applyFill="1" applyBorder="1" applyAlignment="1">
      <alignment vertical="center" wrapText="1"/>
    </xf>
    <xf numFmtId="0" fontId="0" fillId="43" borderId="0" xfId="0" applyFont="1" applyFill="1" applyBorder="1" applyAlignment="1">
      <alignment vertical="center"/>
    </xf>
    <xf numFmtId="0" fontId="0" fillId="43" borderId="0" xfId="0" applyFont="1" applyFill="1" applyBorder="1" applyAlignment="1">
      <alignment/>
    </xf>
    <xf numFmtId="4" fontId="0" fillId="43" borderId="10" xfId="0" applyNumberFormat="1" applyFont="1" applyFill="1" applyBorder="1" applyAlignment="1">
      <alignment vertical="center"/>
    </xf>
    <xf numFmtId="4" fontId="1" fillId="43" borderId="10" xfId="0" applyNumberFormat="1" applyFont="1" applyFill="1" applyBorder="1" applyAlignment="1">
      <alignment vertical="center"/>
    </xf>
    <xf numFmtId="4" fontId="4" fillId="43" borderId="10" xfId="0" applyNumberFormat="1" applyFont="1" applyFill="1" applyBorder="1" applyAlignment="1">
      <alignment vertical="center"/>
    </xf>
    <xf numFmtId="4" fontId="15" fillId="42" borderId="33" xfId="0" applyNumberFormat="1" applyFont="1" applyFill="1" applyBorder="1" applyAlignment="1">
      <alignment/>
    </xf>
    <xf numFmtId="0" fontId="1" fillId="43" borderId="0" xfId="0" applyFont="1" applyFill="1" applyBorder="1" applyAlignment="1">
      <alignment vertical="center"/>
    </xf>
    <xf numFmtId="4" fontId="0" fillId="43" borderId="10" xfId="0" applyNumberFormat="1" applyFont="1" applyFill="1" applyBorder="1" applyAlignment="1">
      <alignment/>
    </xf>
    <xf numFmtId="4" fontId="4" fillId="43" borderId="10" xfId="0" applyNumberFormat="1" applyFont="1" applyFill="1" applyBorder="1" applyAlignment="1">
      <alignment/>
    </xf>
    <xf numFmtId="1" fontId="1" fillId="44" borderId="38" xfId="0" applyNumberFormat="1" applyFont="1" applyFill="1" applyBorder="1" applyAlignment="1">
      <alignment horizontal="right"/>
    </xf>
    <xf numFmtId="4" fontId="1" fillId="44" borderId="38" xfId="0" applyNumberFormat="1" applyFont="1" applyFill="1" applyBorder="1" applyAlignment="1">
      <alignment horizontal="right"/>
    </xf>
    <xf numFmtId="4" fontId="4" fillId="44" borderId="39" xfId="0" applyNumberFormat="1" applyFont="1" applyFill="1" applyBorder="1" applyAlignment="1">
      <alignment horizontal="right"/>
    </xf>
    <xf numFmtId="0" fontId="0" fillId="16" borderId="0" xfId="0" applyFont="1" applyFill="1" applyBorder="1" applyAlignment="1">
      <alignment/>
    </xf>
    <xf numFmtId="4" fontId="0" fillId="16" borderId="10" xfId="0" applyNumberFormat="1" applyFont="1" applyFill="1" applyBorder="1" applyAlignment="1">
      <alignment/>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justify" vertical="top"/>
    </xf>
    <xf numFmtId="0" fontId="0" fillId="0" borderId="10" xfId="0" applyFont="1" applyFill="1" applyBorder="1" applyAlignment="1">
      <alignment horizontal="right" vertical="top"/>
    </xf>
    <xf numFmtId="192" fontId="0" fillId="0" borderId="10" xfId="0" applyNumberFormat="1" applyFont="1" applyFill="1" applyBorder="1" applyAlignment="1" applyProtection="1">
      <alignment horizontal="right" vertical="top"/>
      <protection/>
    </xf>
    <xf numFmtId="4" fontId="0" fillId="0" borderId="10" xfId="0" applyNumberFormat="1" applyFont="1" applyFill="1" applyBorder="1" applyAlignment="1" applyProtection="1">
      <alignment horizontal="right" vertical="top"/>
      <protection locked="0"/>
    </xf>
    <xf numFmtId="4" fontId="0" fillId="0" borderId="10" xfId="0" applyNumberFormat="1" applyFont="1" applyFill="1" applyBorder="1" applyAlignment="1">
      <alignment horizontal="right" vertical="top"/>
    </xf>
    <xf numFmtId="3" fontId="0" fillId="0" borderId="10" xfId="0" applyNumberFormat="1" applyFont="1" applyBorder="1" applyAlignment="1">
      <alignment vertical="top" wrapText="1"/>
    </xf>
    <xf numFmtId="4" fontId="0" fillId="0" borderId="10" xfId="0" applyNumberFormat="1" applyFont="1" applyBorder="1" applyAlignment="1" applyProtection="1">
      <alignment horizontal="right" vertical="top"/>
      <protection locked="0"/>
    </xf>
    <xf numFmtId="0" fontId="0" fillId="0" borderId="10" xfId="0" applyFont="1" applyBorder="1" applyAlignment="1">
      <alignment horizontal="justify" vertical="top" wrapText="1"/>
    </xf>
    <xf numFmtId="0" fontId="0"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right" vertical="center" wrapText="1"/>
    </xf>
    <xf numFmtId="0" fontId="0" fillId="0" borderId="10" xfId="0" applyFont="1" applyFill="1" applyBorder="1" applyAlignment="1">
      <alignment horizontal="right"/>
    </xf>
    <xf numFmtId="4" fontId="1" fillId="0" borderId="10" xfId="0" applyNumberFormat="1" applyFont="1" applyFill="1" applyBorder="1" applyAlignment="1">
      <alignment horizontal="right" wrapText="1"/>
    </xf>
    <xf numFmtId="4" fontId="5"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Font="1" applyFill="1" applyBorder="1" applyAlignment="1">
      <alignment horizontal="center" vertical="center" wrapText="1"/>
    </xf>
    <xf numFmtId="192"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justify" vertical="top" wrapText="1"/>
      <protection/>
    </xf>
    <xf numFmtId="49" fontId="1" fillId="41" borderId="10" xfId="0" applyNumberFormat="1" applyFont="1" applyFill="1" applyBorder="1" applyAlignment="1">
      <alignment horizontal="center" vertical="top"/>
    </xf>
    <xf numFmtId="0" fontId="1" fillId="41" borderId="10" xfId="0" applyFont="1" applyFill="1" applyBorder="1" applyAlignment="1">
      <alignment horizontal="right" vertical="center" wrapText="1"/>
    </xf>
    <xf numFmtId="0" fontId="0" fillId="41" borderId="10" xfId="0" applyFont="1" applyFill="1" applyBorder="1" applyAlignment="1">
      <alignment horizontal="right"/>
    </xf>
    <xf numFmtId="4" fontId="1" fillId="41" borderId="10" xfId="0" applyNumberFormat="1" applyFont="1" applyFill="1" applyBorder="1" applyAlignment="1">
      <alignment horizontal="right" wrapText="1"/>
    </xf>
    <xf numFmtId="4" fontId="4" fillId="41" borderId="10" xfId="0" applyNumberFormat="1" applyFont="1" applyFill="1" applyBorder="1" applyAlignment="1">
      <alignment horizontal="right" wrapText="1"/>
    </xf>
    <xf numFmtId="0" fontId="0" fillId="41" borderId="0" xfId="0" applyFont="1" applyFill="1" applyAlignment="1">
      <alignment vertical="center"/>
    </xf>
    <xf numFmtId="49" fontId="1" fillId="45" borderId="10" xfId="0" applyNumberFormat="1" applyFont="1" applyFill="1" applyBorder="1" applyAlignment="1">
      <alignment horizontal="center" vertical="top"/>
    </xf>
    <xf numFmtId="0" fontId="1" fillId="45" borderId="10" xfId="0" applyFont="1" applyFill="1" applyBorder="1" applyAlignment="1">
      <alignment horizontal="right" vertical="center" wrapText="1"/>
    </xf>
    <xf numFmtId="0" fontId="0" fillId="45" borderId="10" xfId="0" applyFont="1" applyFill="1" applyBorder="1" applyAlignment="1">
      <alignment horizontal="right"/>
    </xf>
    <xf numFmtId="4" fontId="1" fillId="45" borderId="10" xfId="0" applyNumberFormat="1" applyFont="1" applyFill="1" applyBorder="1" applyAlignment="1">
      <alignment horizontal="right" wrapText="1"/>
    </xf>
    <xf numFmtId="0" fontId="0" fillId="45" borderId="0" xfId="0" applyFont="1" applyFill="1" applyAlignment="1">
      <alignment vertical="center"/>
    </xf>
    <xf numFmtId="4" fontId="0" fillId="45" borderId="10" xfId="0" applyNumberFormat="1" applyFont="1" applyFill="1" applyBorder="1" applyAlignment="1">
      <alignment vertical="center"/>
    </xf>
    <xf numFmtId="2" fontId="1" fillId="35" borderId="13"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 vertical="center" wrapText="1"/>
      <protection/>
    </xf>
    <xf numFmtId="0" fontId="1" fillId="35" borderId="13" xfId="0" applyNumberFormat="1" applyFont="1" applyFill="1" applyBorder="1" applyAlignment="1" applyProtection="1">
      <alignment horizontal="center" vertical="center"/>
      <protection/>
    </xf>
    <xf numFmtId="4" fontId="1" fillId="35" borderId="13" xfId="0" applyNumberFormat="1" applyFont="1" applyFill="1" applyBorder="1" applyAlignment="1" applyProtection="1">
      <alignment horizontal="center" wrapText="1"/>
      <protection/>
    </xf>
    <xf numFmtId="0" fontId="21"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justify" vertical="top" wrapText="1"/>
      <protection/>
    </xf>
    <xf numFmtId="0" fontId="21" fillId="0" borderId="10" xfId="0" applyFont="1" applyFill="1" applyBorder="1" applyAlignment="1" applyProtection="1">
      <alignment horizontal="justify" vertical="top" wrapText="1"/>
      <protection/>
    </xf>
    <xf numFmtId="4" fontId="0" fillId="0" borderId="10" xfId="0" applyNumberFormat="1" applyFont="1" applyFill="1" applyBorder="1" applyAlignment="1">
      <alignment horizontal="right" vertical="top"/>
    </xf>
    <xf numFmtId="4" fontId="74" fillId="0" borderId="10" xfId="0" applyNumberFormat="1" applyFont="1" applyFill="1" applyBorder="1" applyAlignment="1" applyProtection="1">
      <alignment horizontal="justify" vertical="top" wrapText="1"/>
      <protection/>
    </xf>
    <xf numFmtId="49" fontId="1" fillId="43" borderId="10" xfId="0" applyNumberFormat="1" applyFont="1" applyFill="1" applyBorder="1" applyAlignment="1">
      <alignment horizontal="center" vertical="top"/>
    </xf>
    <xf numFmtId="0" fontId="1" fillId="43" borderId="10" xfId="0" applyFont="1" applyFill="1" applyBorder="1" applyAlignment="1">
      <alignment horizontal="right" vertical="center" wrapText="1"/>
    </xf>
    <xf numFmtId="0" fontId="0" fillId="43" borderId="10" xfId="0" applyFont="1" applyFill="1" applyBorder="1" applyAlignment="1">
      <alignment horizontal="right"/>
    </xf>
    <xf numFmtId="4" fontId="1" fillId="43" borderId="10" xfId="0" applyNumberFormat="1" applyFont="1" applyFill="1" applyBorder="1" applyAlignment="1">
      <alignment horizontal="right" wrapText="1"/>
    </xf>
    <xf numFmtId="0" fontId="0" fillId="43" borderId="0" xfId="0" applyFont="1" applyFill="1" applyAlignment="1">
      <alignment vertical="center"/>
    </xf>
    <xf numFmtId="4" fontId="4" fillId="43" borderId="10" xfId="0" applyNumberFormat="1" applyFont="1" applyFill="1" applyBorder="1" applyAlignment="1">
      <alignment horizontal="right" wrapText="1"/>
    </xf>
    <xf numFmtId="49" fontId="1" fillId="0" borderId="35" xfId="0" applyNumberFormat="1" applyFont="1" applyFill="1" applyBorder="1" applyAlignment="1">
      <alignment horizontal="center" vertical="top"/>
    </xf>
    <xf numFmtId="0" fontId="1" fillId="0" borderId="35" xfId="0" applyFont="1" applyFill="1" applyBorder="1" applyAlignment="1">
      <alignment horizontal="center" vertical="top" wrapText="1"/>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center" wrapText="1"/>
      <protection/>
    </xf>
    <xf numFmtId="0" fontId="0" fillId="0" borderId="10" xfId="0" applyFont="1" applyFill="1" applyBorder="1" applyAlignment="1">
      <alignment horizontal="right" vertical="top" wrapText="1"/>
    </xf>
    <xf numFmtId="49" fontId="0" fillId="0" borderId="10" xfId="0" applyNumberFormat="1" applyFont="1" applyFill="1" applyBorder="1" applyAlignment="1" applyProtection="1">
      <alignment horizontal="center" vertical="top" wrapText="1"/>
      <protection/>
    </xf>
    <xf numFmtId="0" fontId="1" fillId="0" borderId="10" xfId="58" applyFont="1" applyFill="1" applyBorder="1" applyAlignment="1">
      <alignment horizontal="justify" vertical="top" wrapText="1"/>
      <protection/>
    </xf>
    <xf numFmtId="0" fontId="0" fillId="0" borderId="10" xfId="58" applyFont="1" applyFill="1" applyBorder="1" applyAlignment="1">
      <alignment horizontal="justify" vertical="top" wrapText="1"/>
      <protection/>
    </xf>
    <xf numFmtId="193" fontId="1" fillId="0" borderId="10" xfId="0" applyNumberFormat="1" applyFont="1" applyFill="1" applyBorder="1" applyAlignment="1">
      <alignment horizontal="center" vertical="top"/>
    </xf>
    <xf numFmtId="0" fontId="0" fillId="0" borderId="10" xfId="0" applyFont="1" applyFill="1" applyBorder="1" applyAlignment="1">
      <alignment horizontal="center"/>
    </xf>
    <xf numFmtId="193"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right" vertical="top"/>
      <protection/>
    </xf>
    <xf numFmtId="194" fontId="0" fillId="0" borderId="10" xfId="0" applyNumberFormat="1" applyFont="1" applyFill="1" applyBorder="1" applyAlignment="1">
      <alignment horizontal="center" vertical="center" wrapText="1"/>
    </xf>
    <xf numFmtId="192"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locked="0"/>
    </xf>
    <xf numFmtId="4" fontId="0" fillId="0" borderId="10" xfId="0" applyNumberFormat="1" applyFont="1" applyFill="1" applyBorder="1" applyAlignment="1">
      <alignment horizontal="right"/>
    </xf>
    <xf numFmtId="0" fontId="21" fillId="0" borderId="10" xfId="0" applyFont="1" applyFill="1" applyBorder="1" applyAlignment="1" applyProtection="1">
      <alignment horizontal="right" vertical="top" wrapText="1"/>
      <protection/>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1" fillId="0" borderId="10" xfId="0" applyFont="1" applyFill="1" applyBorder="1" applyAlignment="1">
      <alignment horizontal="justify" vertical="top" wrapText="1"/>
    </xf>
    <xf numFmtId="193" fontId="1" fillId="43" borderId="10" xfId="0" applyNumberFormat="1" applyFont="1" applyFill="1" applyBorder="1" applyAlignment="1">
      <alignment horizontal="center" vertical="top"/>
    </xf>
    <xf numFmtId="4" fontId="0" fillId="0" borderId="33" xfId="0" applyNumberFormat="1" applyFont="1" applyFill="1" applyBorder="1" applyAlignment="1">
      <alignment horizontal="right" vertical="top"/>
    </xf>
    <xf numFmtId="0" fontId="5" fillId="43" borderId="40" xfId="0" applyFont="1" applyFill="1" applyBorder="1" applyAlignment="1">
      <alignment horizontal="center"/>
    </xf>
    <xf numFmtId="0" fontId="0" fillId="43" borderId="0" xfId="0" applyFill="1" applyAlignment="1">
      <alignment/>
    </xf>
    <xf numFmtId="4" fontId="0" fillId="43" borderId="10" xfId="0" applyNumberFormat="1" applyFill="1" applyBorder="1" applyAlignment="1">
      <alignment/>
    </xf>
    <xf numFmtId="0" fontId="0" fillId="43" borderId="0" xfId="0" applyFill="1" applyAlignment="1">
      <alignment vertical="center"/>
    </xf>
    <xf numFmtId="4" fontId="4" fillId="43" borderId="0" xfId="0" applyNumberFormat="1" applyFont="1" applyFill="1" applyBorder="1" applyAlignment="1">
      <alignment horizontal="right" vertical="center" wrapText="1"/>
    </xf>
    <xf numFmtId="4" fontId="0" fillId="43" borderId="10" xfId="0" applyNumberFormat="1" applyFill="1" applyBorder="1" applyAlignment="1">
      <alignment vertical="center"/>
    </xf>
    <xf numFmtId="0" fontId="4" fillId="43" borderId="10" xfId="0" applyFont="1" applyFill="1" applyBorder="1" applyAlignment="1">
      <alignment horizontal="left" vertical="top"/>
    </xf>
    <xf numFmtId="193" fontId="4" fillId="43" borderId="10" xfId="0" applyNumberFormat="1" applyFont="1" applyFill="1" applyBorder="1" applyAlignment="1">
      <alignment horizontal="center" vertical="top"/>
    </xf>
    <xf numFmtId="0" fontId="4" fillId="43" borderId="10" xfId="0" applyFont="1" applyFill="1" applyBorder="1" applyAlignment="1">
      <alignment horizontal="left" vertical="top" wrapText="1"/>
    </xf>
    <xf numFmtId="0" fontId="0" fillId="43" borderId="10" xfId="0" applyFill="1" applyBorder="1" applyAlignment="1">
      <alignment/>
    </xf>
    <xf numFmtId="0" fontId="5" fillId="0" borderId="10" xfId="0" applyFont="1" applyFill="1" applyBorder="1" applyAlignment="1">
      <alignment horizontal="left" vertical="top"/>
    </xf>
    <xf numFmtId="193" fontId="4" fillId="0" borderId="10" xfId="0" applyNumberFormat="1" applyFont="1" applyFill="1" applyBorder="1" applyAlignment="1">
      <alignment horizontal="center" vertical="top"/>
    </xf>
    <xf numFmtId="193"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horizontal="justify" vertical="center"/>
    </xf>
    <xf numFmtId="0" fontId="0" fillId="0" borderId="10" xfId="0" applyBorder="1" applyAlignment="1">
      <alignment vertical="center"/>
    </xf>
    <xf numFmtId="0" fontId="0" fillId="0" borderId="10" xfId="0" applyFill="1" applyBorder="1" applyAlignment="1">
      <alignment vertical="center"/>
    </xf>
    <xf numFmtId="4" fontId="0" fillId="0" borderId="10" xfId="0" applyNumberFormat="1" applyFill="1" applyBorder="1" applyAlignment="1">
      <alignment vertical="center"/>
    </xf>
    <xf numFmtId="194" fontId="5" fillId="0" borderId="10" xfId="0" applyNumberFormat="1" applyFont="1" applyFill="1" applyBorder="1" applyAlignment="1" applyProtection="1">
      <alignment horizontal="right" vertical="top" wrapText="1"/>
      <protection/>
    </xf>
    <xf numFmtId="194" fontId="5" fillId="0" borderId="10" xfId="0" applyNumberFormat="1" applyFont="1" applyFill="1" applyBorder="1" applyAlignment="1" applyProtection="1">
      <alignment horizontal="center" vertical="top" wrapText="1"/>
      <protection/>
    </xf>
    <xf numFmtId="0" fontId="5" fillId="0" borderId="10" xfId="58" applyFont="1" applyFill="1" applyBorder="1" applyAlignment="1">
      <alignment horizontal="justify" vertical="top" wrapText="1"/>
      <protection/>
    </xf>
    <xf numFmtId="193" fontId="4" fillId="43" borderId="10" xfId="0" applyNumberFormat="1" applyFont="1" applyFill="1" applyBorder="1" applyAlignment="1">
      <alignment horizontal="right" vertical="center"/>
    </xf>
    <xf numFmtId="193" fontId="4" fillId="43" borderId="10" xfId="0" applyNumberFormat="1" applyFont="1" applyFill="1" applyBorder="1" applyAlignment="1">
      <alignment horizontal="center" vertical="center"/>
    </xf>
    <xf numFmtId="0" fontId="4" fillId="43" borderId="10" xfId="0" applyFont="1" applyFill="1" applyBorder="1" applyAlignment="1">
      <alignment horizontal="right" vertical="center" wrapText="1"/>
    </xf>
    <xf numFmtId="0" fontId="0" fillId="43" borderId="10" xfId="0" applyFill="1" applyBorder="1" applyAlignment="1">
      <alignment vertical="center"/>
    </xf>
    <xf numFmtId="0" fontId="0" fillId="43" borderId="10" xfId="0" applyFont="1" applyFill="1" applyBorder="1" applyAlignment="1">
      <alignment horizontal="right" vertical="center"/>
    </xf>
    <xf numFmtId="0" fontId="0" fillId="43" borderId="10" xfId="0" applyNumberFormat="1" applyFill="1" applyBorder="1" applyAlignment="1">
      <alignment horizontal="center" wrapText="1"/>
    </xf>
    <xf numFmtId="0" fontId="22" fillId="43" borderId="10" xfId="0" applyNumberFormat="1" applyFont="1" applyFill="1" applyBorder="1" applyAlignment="1">
      <alignment horizontal="center" wrapText="1"/>
    </xf>
    <xf numFmtId="4" fontId="23" fillId="43" borderId="10" xfId="0" applyNumberFormat="1" applyFont="1" applyFill="1" applyBorder="1" applyAlignment="1">
      <alignment horizontal="center" wrapText="1"/>
    </xf>
    <xf numFmtId="0" fontId="0" fillId="43" borderId="10" xfId="0" applyFill="1" applyBorder="1" applyAlignment="1">
      <alignment horizontal="center" vertical="center" wrapText="1"/>
    </xf>
    <xf numFmtId="0" fontId="22" fillId="43" borderId="10" xfId="0" applyFont="1" applyFill="1" applyBorder="1" applyAlignment="1">
      <alignment horizontal="center" vertical="center" wrapText="1"/>
    </xf>
    <xf numFmtId="4" fontId="0" fillId="43" borderId="12" xfId="0" applyNumberFormat="1" applyFill="1" applyBorder="1" applyAlignment="1">
      <alignment horizontal="center" vertical="center" wrapText="1"/>
    </xf>
    <xf numFmtId="4" fontId="22" fillId="43" borderId="16" xfId="0" applyNumberFormat="1" applyFont="1" applyFill="1" applyBorder="1" applyAlignment="1">
      <alignment horizontal="center" vertical="center" wrapText="1"/>
    </xf>
    <xf numFmtId="0" fontId="8" fillId="43" borderId="10" xfId="0" applyFont="1" applyFill="1" applyBorder="1" applyAlignment="1">
      <alignment/>
    </xf>
    <xf numFmtId="0" fontId="10" fillId="43" borderId="10" xfId="0" applyFont="1" applyFill="1" applyBorder="1" applyAlignment="1">
      <alignment/>
    </xf>
    <xf numFmtId="0" fontId="25" fillId="43" borderId="12" xfId="0" applyFont="1" applyFill="1" applyBorder="1" applyAlignment="1">
      <alignment horizontal="center"/>
    </xf>
    <xf numFmtId="0" fontId="25" fillId="43" borderId="11" xfId="0" applyFont="1" applyFill="1" applyBorder="1" applyAlignment="1">
      <alignment horizontal="center"/>
    </xf>
    <xf numFmtId="4" fontId="25" fillId="43" borderId="16" xfId="0" applyNumberFormat="1" applyFont="1" applyFill="1" applyBorder="1" applyAlignment="1">
      <alignment horizontal="center"/>
    </xf>
    <xf numFmtId="4" fontId="1" fillId="43" borderId="0" xfId="66" applyNumberFormat="1" applyFont="1" applyFill="1" applyBorder="1" applyAlignment="1">
      <alignment horizontal="center"/>
      <protection/>
    </xf>
    <xf numFmtId="0" fontId="26" fillId="43" borderId="12" xfId="66" applyFont="1" applyFill="1" applyBorder="1" applyAlignment="1">
      <alignment horizontal="center"/>
      <protection/>
    </xf>
    <xf numFmtId="0" fontId="1" fillId="43" borderId="11" xfId="66" applyFont="1" applyFill="1" applyBorder="1">
      <alignment/>
      <protection/>
    </xf>
    <xf numFmtId="0" fontId="1" fillId="43" borderId="11" xfId="66" applyFont="1" applyFill="1" applyBorder="1" applyAlignment="1">
      <alignment horizontal="center"/>
      <protection/>
    </xf>
    <xf numFmtId="4" fontId="1" fillId="43" borderId="11" xfId="66" applyNumberFormat="1" applyFont="1" applyFill="1" applyBorder="1" applyAlignment="1">
      <alignment horizontal="center"/>
      <protection/>
    </xf>
    <xf numFmtId="4" fontId="1" fillId="43" borderId="16" xfId="66" applyNumberFormat="1" applyFont="1" applyFill="1" applyBorder="1" applyAlignment="1">
      <alignment horizontal="center"/>
      <protection/>
    </xf>
    <xf numFmtId="0" fontId="26" fillId="43" borderId="11" xfId="0" applyFont="1" applyFill="1" applyBorder="1" applyAlignment="1">
      <alignment horizontal="center"/>
    </xf>
    <xf numFmtId="0" fontId="26" fillId="43" borderId="11" xfId="0" applyFont="1" applyFill="1" applyBorder="1" applyAlignment="1">
      <alignment/>
    </xf>
    <xf numFmtId="4" fontId="22" fillId="0" borderId="10" xfId="0" applyNumberFormat="1" applyFont="1" applyBorder="1" applyAlignment="1">
      <alignment horizontal="center" vertical="center" wrapText="1"/>
    </xf>
    <xf numFmtId="0" fontId="22" fillId="43" borderId="10" xfId="0" applyNumberFormat="1" applyFont="1" applyFill="1" applyBorder="1" applyAlignment="1">
      <alignment horizontal="center" vertical="center" wrapText="1"/>
    </xf>
    <xf numFmtId="0" fontId="22" fillId="43" borderId="10" xfId="0" applyFont="1" applyFill="1" applyBorder="1" applyAlignment="1">
      <alignment/>
    </xf>
    <xf numFmtId="4" fontId="10" fillId="0" borderId="10" xfId="0" applyNumberFormat="1" applyFont="1" applyBorder="1" applyAlignment="1">
      <alignment/>
    </xf>
    <xf numFmtId="0" fontId="0" fillId="12" borderId="0" xfId="59" applyFont="1" applyFill="1" applyBorder="1">
      <alignment/>
      <protection/>
    </xf>
    <xf numFmtId="2" fontId="4" fillId="12" borderId="10" xfId="59" applyNumberFormat="1" applyFont="1" applyFill="1" applyBorder="1" applyAlignment="1">
      <alignment vertical="top"/>
      <protection/>
    </xf>
    <xf numFmtId="4" fontId="5" fillId="12" borderId="10" xfId="59" applyNumberFormat="1" applyFont="1" applyFill="1" applyBorder="1" applyAlignment="1">
      <alignment/>
      <protection/>
    </xf>
    <xf numFmtId="4" fontId="0" fillId="0" borderId="10" xfId="59" applyNumberFormat="1" applyFont="1" applyBorder="1" applyAlignment="1" applyProtection="1">
      <alignment horizontal="right"/>
      <protection/>
    </xf>
    <xf numFmtId="0" fontId="0" fillId="0" borderId="0" xfId="59" applyFont="1" applyProtection="1">
      <alignment/>
      <protection/>
    </xf>
    <xf numFmtId="0" fontId="0" fillId="0" borderId="0" xfId="0" applyFont="1" applyAlignment="1" applyProtection="1">
      <alignment/>
      <protection/>
    </xf>
    <xf numFmtId="4" fontId="0" fillId="0" borderId="10" xfId="0" applyNumberFormat="1" applyFont="1" applyBorder="1" applyAlignment="1" applyProtection="1">
      <alignment/>
      <protection/>
    </xf>
    <xf numFmtId="10" fontId="10" fillId="0" borderId="0" xfId="59" applyNumberFormat="1" applyFont="1" applyFill="1" applyBorder="1" applyAlignment="1">
      <alignment/>
      <protection/>
    </xf>
    <xf numFmtId="4" fontId="8" fillId="0" borderId="13" xfId="59" applyNumberFormat="1" applyFont="1" applyFill="1" applyBorder="1" applyAlignment="1">
      <alignment/>
      <protection/>
    </xf>
    <xf numFmtId="0" fontId="80" fillId="0" borderId="0" xfId="0" applyFont="1" applyAlignment="1">
      <alignment vertical="top" wrapText="1"/>
    </xf>
    <xf numFmtId="0" fontId="80" fillId="0" borderId="0" xfId="0" applyFont="1" applyAlignment="1">
      <alignment horizontal="center"/>
    </xf>
    <xf numFmtId="0" fontId="0" fillId="0" borderId="0" xfId="0" applyFont="1" applyAlignment="1" applyProtection="1">
      <alignment/>
      <protection locked="0"/>
    </xf>
    <xf numFmtId="2" fontId="4" fillId="12" borderId="12" xfId="0" applyNumberFormat="1" applyFont="1" applyFill="1" applyBorder="1" applyAlignment="1" applyProtection="1">
      <alignment horizontal="right" vertical="top"/>
      <protection locked="0"/>
    </xf>
    <xf numFmtId="0" fontId="4" fillId="12" borderId="12" xfId="0" applyNumberFormat="1" applyFont="1" applyFill="1" applyBorder="1" applyAlignment="1" applyProtection="1">
      <alignment horizontal="left" vertical="top" wrapText="1"/>
      <protection locked="0"/>
    </xf>
    <xf numFmtId="0" fontId="5" fillId="12" borderId="11" xfId="0" applyNumberFormat="1" applyFont="1" applyFill="1" applyBorder="1" applyAlignment="1" applyProtection="1">
      <alignment horizontal="center"/>
      <protection locked="0"/>
    </xf>
    <xf numFmtId="4" fontId="5" fillId="12" borderId="11" xfId="0" applyNumberFormat="1" applyFont="1" applyFill="1" applyBorder="1" applyAlignment="1" applyProtection="1">
      <alignment horizontal="center"/>
      <protection locked="0"/>
    </xf>
    <xf numFmtId="2" fontId="1" fillId="35" borderId="10" xfId="0" applyNumberFormat="1" applyFont="1" applyFill="1" applyBorder="1" applyAlignment="1" applyProtection="1">
      <alignment horizontal="center" vertical="center"/>
      <protection locked="0"/>
    </xf>
    <xf numFmtId="0" fontId="1" fillId="35" borderId="15" xfId="0" applyNumberFormat="1" applyFont="1" applyFill="1" applyBorder="1" applyAlignment="1" applyProtection="1">
      <alignment horizontal="center" vertical="center" wrapText="1"/>
      <protection locked="0"/>
    </xf>
    <xf numFmtId="0" fontId="1" fillId="35" borderId="15" xfId="0" applyNumberFormat="1" applyFont="1" applyFill="1" applyBorder="1" applyAlignment="1" applyProtection="1">
      <alignment horizontal="center" vertical="center"/>
      <protection locked="0"/>
    </xf>
    <xf numFmtId="4" fontId="1" fillId="35" borderId="15" xfId="0" applyNumberFormat="1" applyFont="1" applyFill="1" applyBorder="1" applyAlignment="1" applyProtection="1">
      <alignment horizontal="center" wrapText="1"/>
      <protection locked="0"/>
    </xf>
    <xf numFmtId="4" fontId="0" fillId="0" borderId="10" xfId="59" applyNumberFormat="1" applyFont="1" applyBorder="1" applyAlignment="1" applyProtection="1">
      <alignment horizontal="center"/>
      <protection locked="0"/>
    </xf>
    <xf numFmtId="4" fontId="0" fillId="0" borderId="10" xfId="59" applyNumberFormat="1" applyFont="1" applyBorder="1" applyAlignment="1" applyProtection="1">
      <alignment horizontal="right"/>
      <protection locked="0"/>
    </xf>
    <xf numFmtId="4" fontId="0" fillId="0" borderId="10" xfId="59" applyNumberFormat="1" applyFont="1" applyBorder="1" applyAlignment="1" applyProtection="1">
      <alignment/>
      <protection locked="0"/>
    </xf>
    <xf numFmtId="4" fontId="0" fillId="0" borderId="10" xfId="59" applyNumberFormat="1" applyFont="1" applyBorder="1" applyAlignment="1" applyProtection="1">
      <alignment horizontal="right" vertical="top"/>
      <protection locked="0"/>
    </xf>
    <xf numFmtId="2" fontId="0" fillId="0" borderId="10" xfId="59" applyNumberFormat="1" applyFont="1" applyBorder="1" applyAlignment="1" applyProtection="1">
      <alignment horizontal="justify" vertical="top"/>
      <protection locked="0"/>
    </xf>
    <xf numFmtId="4" fontId="0" fillId="0" borderId="13" xfId="59" applyNumberFormat="1" applyFont="1" applyBorder="1" applyAlignment="1" applyProtection="1">
      <alignment horizontal="right" vertical="top"/>
      <protection locked="0"/>
    </xf>
    <xf numFmtId="2" fontId="0" fillId="0" borderId="16" xfId="59" applyNumberFormat="1" applyFont="1" applyBorder="1" applyAlignment="1" applyProtection="1">
      <alignment horizontal="justify" vertical="top"/>
      <protection locked="0"/>
    </xf>
    <xf numFmtId="4" fontId="0" fillId="0" borderId="10" xfId="59" applyNumberFormat="1" applyFont="1" applyFill="1" applyBorder="1" applyAlignment="1" applyProtection="1">
      <alignment horizontal="right"/>
      <protection locked="0"/>
    </xf>
    <xf numFmtId="4" fontId="4" fillId="12" borderId="10" xfId="59" applyNumberFormat="1" applyFont="1" applyFill="1" applyBorder="1" applyAlignment="1" applyProtection="1">
      <alignment horizontal="right" vertical="top"/>
      <protection locked="0"/>
    </xf>
    <xf numFmtId="2" fontId="4" fillId="12" borderId="10" xfId="59" applyNumberFormat="1" applyFont="1" applyFill="1" applyBorder="1" applyAlignment="1" applyProtection="1">
      <alignment vertical="top" wrapText="1"/>
      <protection locked="0"/>
    </xf>
    <xf numFmtId="4" fontId="4" fillId="12" borderId="10" xfId="59" applyNumberFormat="1" applyFont="1" applyFill="1" applyBorder="1" applyAlignment="1" applyProtection="1">
      <alignment horizontal="center"/>
      <protection locked="0"/>
    </xf>
    <xf numFmtId="4" fontId="4" fillId="12" borderId="10" xfId="59" applyNumberFormat="1" applyFont="1" applyFill="1" applyBorder="1" applyAlignment="1" applyProtection="1">
      <alignment horizontal="right"/>
      <protection locked="0"/>
    </xf>
    <xf numFmtId="2" fontId="0" fillId="0" borderId="16" xfId="59" applyNumberFormat="1" applyFont="1" applyBorder="1" applyAlignment="1" applyProtection="1">
      <alignment horizontal="justify" vertical="top" wrapText="1"/>
      <protection locked="0"/>
    </xf>
    <xf numFmtId="4" fontId="0" fillId="0" borderId="10" xfId="0" applyNumberFormat="1" applyFont="1" applyBorder="1" applyAlignment="1" applyProtection="1">
      <alignment/>
      <protection locked="0"/>
    </xf>
    <xf numFmtId="4" fontId="0" fillId="0" borderId="10" xfId="0" applyNumberFormat="1" applyFont="1" applyBorder="1" applyAlignment="1" applyProtection="1">
      <alignment horizontal="right"/>
      <protection locked="0"/>
    </xf>
    <xf numFmtId="4" fontId="0" fillId="0" borderId="16" xfId="59" applyNumberFormat="1" applyFont="1" applyBorder="1" applyAlignment="1" applyProtection="1">
      <alignment horizontal="center"/>
      <protection locked="0"/>
    </xf>
    <xf numFmtId="0" fontId="0" fillId="0" borderId="10" xfId="0" applyFont="1" applyBorder="1" applyAlignment="1" applyProtection="1">
      <alignment/>
      <protection locked="0"/>
    </xf>
    <xf numFmtId="4" fontId="0" fillId="0" borderId="21" xfId="59" applyNumberFormat="1" applyFont="1" applyBorder="1" applyAlignment="1" applyProtection="1">
      <alignment horizontal="right" vertical="top"/>
      <protection locked="0"/>
    </xf>
    <xf numFmtId="2" fontId="0" fillId="0" borderId="18" xfId="59" applyNumberFormat="1" applyFont="1" applyBorder="1" applyAlignment="1" applyProtection="1">
      <alignment horizontal="justify" vertical="top" wrapText="1"/>
      <protection locked="0"/>
    </xf>
    <xf numFmtId="4" fontId="0" fillId="0" borderId="13" xfId="0" applyNumberFormat="1" applyFont="1" applyBorder="1" applyAlignment="1" applyProtection="1">
      <alignment horizontal="right"/>
      <protection locked="0"/>
    </xf>
    <xf numFmtId="4" fontId="0" fillId="0" borderId="16" xfId="59" applyNumberFormat="1" applyFont="1" applyBorder="1" applyAlignment="1" applyProtection="1">
      <alignment horizontal="right" vertical="top"/>
      <protection locked="0"/>
    </xf>
    <xf numFmtId="4" fontId="0" fillId="0" borderId="18" xfId="59" applyNumberFormat="1" applyFont="1" applyBorder="1" applyAlignment="1" applyProtection="1">
      <alignment horizontal="center"/>
      <protection locked="0"/>
    </xf>
    <xf numFmtId="4" fontId="0" fillId="0" borderId="13" xfId="0" applyNumberFormat="1" applyFont="1" applyBorder="1" applyAlignment="1" applyProtection="1">
      <alignment/>
      <protection locked="0"/>
    </xf>
    <xf numFmtId="4" fontId="0" fillId="0" borderId="11" xfId="59" applyNumberFormat="1" applyFont="1" applyBorder="1" applyAlignment="1" applyProtection="1">
      <alignment horizontal="right"/>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4" fontId="5" fillId="12" borderId="10" xfId="59" applyNumberFormat="1" applyFont="1" applyFill="1" applyBorder="1" applyAlignment="1" applyProtection="1">
      <alignment horizontal="center"/>
      <protection locked="0"/>
    </xf>
    <xf numFmtId="4" fontId="5" fillId="12" borderId="10" xfId="59" applyNumberFormat="1" applyFont="1" applyFill="1" applyBorder="1" applyAlignment="1" applyProtection="1">
      <alignment horizontal="right"/>
      <protection locked="0"/>
    </xf>
    <xf numFmtId="2" fontId="0" fillId="0" borderId="10" xfId="59" applyNumberFormat="1" applyFont="1" applyFill="1" applyBorder="1" applyAlignment="1" applyProtection="1">
      <alignment horizontal="right" wrapText="1"/>
      <protection locked="0"/>
    </xf>
    <xf numFmtId="2" fontId="0" fillId="0" borderId="10" xfId="59" applyNumberFormat="1" applyFont="1" applyFill="1" applyBorder="1" applyAlignment="1" applyProtection="1">
      <alignment horizontal="justify" vertical="justify"/>
      <protection locked="0"/>
    </xf>
    <xf numFmtId="4" fontId="0" fillId="0" borderId="10" xfId="59" applyNumberFormat="1"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0" xfId="0" applyFont="1" applyFill="1" applyAlignment="1" applyProtection="1">
      <alignment/>
      <protection locked="0"/>
    </xf>
    <xf numFmtId="4" fontId="0" fillId="0" borderId="10" xfId="59" applyNumberFormat="1" applyFont="1" applyFill="1" applyBorder="1" applyAlignment="1" applyProtection="1">
      <alignment/>
      <protection locked="0"/>
    </xf>
    <xf numFmtId="4" fontId="0" fillId="0" borderId="12" xfId="59" applyNumberFormat="1" applyFont="1" applyBorder="1" applyAlignment="1" applyProtection="1">
      <alignment horizontal="right"/>
      <protection locked="0"/>
    </xf>
    <xf numFmtId="4" fontId="0" fillId="0" borderId="12" xfId="59" applyNumberFormat="1" applyFont="1" applyBorder="1" applyAlignment="1" applyProtection="1">
      <alignment/>
      <protection locked="0"/>
    </xf>
    <xf numFmtId="4" fontId="0" fillId="0" borderId="13" xfId="59" applyNumberFormat="1" applyFont="1" applyFill="1" applyBorder="1" applyAlignment="1" applyProtection="1">
      <alignment horizontal="right" vertical="top"/>
      <protection locked="0"/>
    </xf>
    <xf numFmtId="4" fontId="0" fillId="0" borderId="12" xfId="59" applyNumberFormat="1" applyFont="1" applyBorder="1" applyAlignment="1" applyProtection="1">
      <alignment horizontal="left"/>
      <protection locked="0"/>
    </xf>
    <xf numFmtId="4" fontId="0" fillId="0" borderId="23" xfId="59" applyNumberFormat="1" applyFont="1" applyBorder="1" applyAlignment="1" applyProtection="1">
      <alignment horizontal="right" vertical="top"/>
      <protection locked="0"/>
    </xf>
    <xf numFmtId="2" fontId="0" fillId="0" borderId="12" xfId="59" applyNumberFormat="1" applyFont="1" applyBorder="1" applyAlignment="1" applyProtection="1">
      <alignment horizontal="justify" vertical="justify"/>
      <protection locked="0"/>
    </xf>
    <xf numFmtId="4" fontId="0" fillId="0" borderId="23" xfId="59" applyNumberFormat="1" applyFont="1" applyBorder="1" applyAlignment="1" applyProtection="1">
      <alignment horizontal="right"/>
      <protection locked="0"/>
    </xf>
    <xf numFmtId="4" fontId="0" fillId="0" borderId="11" xfId="59" applyNumberFormat="1" applyFont="1" applyBorder="1" applyAlignment="1" applyProtection="1">
      <alignment/>
      <protection locked="0"/>
    </xf>
    <xf numFmtId="0" fontId="0" fillId="0" borderId="16" xfId="0" applyNumberFormat="1" applyFont="1" applyFill="1" applyBorder="1" applyAlignment="1" applyProtection="1">
      <alignment vertical="top" wrapText="1"/>
      <protection/>
    </xf>
    <xf numFmtId="2" fontId="0" fillId="0" borderId="16" xfId="59" applyNumberFormat="1" applyFont="1" applyBorder="1" applyAlignment="1">
      <alignment vertical="top" wrapText="1"/>
      <protection/>
    </xf>
    <xf numFmtId="2" fontId="0" fillId="0" borderId="13" xfId="59" applyNumberFormat="1" applyFont="1" applyBorder="1" applyAlignment="1">
      <alignment vertical="top" wrapText="1"/>
      <protection/>
    </xf>
    <xf numFmtId="2" fontId="0" fillId="0" borderId="10" xfId="59" applyNumberFormat="1" applyFont="1" applyBorder="1" applyAlignment="1">
      <alignment vertical="top" wrapText="1"/>
      <protection/>
    </xf>
    <xf numFmtId="2" fontId="0" fillId="0" borderId="10" xfId="0" applyNumberFormat="1" applyFont="1" applyBorder="1" applyAlignment="1">
      <alignment vertical="top" wrapText="1"/>
    </xf>
    <xf numFmtId="2" fontId="0" fillId="0" borderId="10" xfId="59" applyNumberFormat="1" applyFont="1" applyBorder="1" applyAlignment="1">
      <alignment vertical="top"/>
      <protection/>
    </xf>
    <xf numFmtId="0" fontId="0" fillId="0" borderId="10" xfId="0" applyFont="1" applyBorder="1" applyAlignment="1">
      <alignment/>
    </xf>
    <xf numFmtId="2" fontId="0" fillId="0" borderId="10" xfId="59" applyNumberFormat="1" applyFont="1" applyFill="1" applyBorder="1" applyAlignment="1">
      <alignment vertical="top" wrapText="1"/>
      <protection/>
    </xf>
    <xf numFmtId="184" fontId="0" fillId="0" borderId="16" xfId="59" applyNumberFormat="1" applyFont="1" applyBorder="1" applyAlignment="1">
      <alignment vertical="top" wrapText="1"/>
      <protection/>
    </xf>
    <xf numFmtId="0" fontId="21" fillId="0" borderId="10" xfId="0" applyFont="1" applyFill="1" applyBorder="1" applyAlignment="1">
      <alignment vertical="top" wrapText="1"/>
    </xf>
    <xf numFmtId="4" fontId="5" fillId="0" borderId="0" xfId="0" applyNumberFormat="1" applyFont="1" applyAlignment="1">
      <alignment vertical="top" wrapText="1"/>
    </xf>
    <xf numFmtId="0" fontId="0" fillId="0" borderId="10" xfId="0" applyFont="1" applyFill="1" applyBorder="1" applyAlignment="1">
      <alignment vertical="top"/>
    </xf>
    <xf numFmtId="4" fontId="5" fillId="0" borderId="22" xfId="0" applyNumberFormat="1" applyFont="1" applyBorder="1" applyAlignment="1">
      <alignment vertical="top" wrapText="1"/>
    </xf>
    <xf numFmtId="2"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vertical="top" wrapText="1"/>
      <protection/>
    </xf>
    <xf numFmtId="0" fontId="80" fillId="0" borderId="0" xfId="0" applyFont="1" applyAlignment="1">
      <alignment vertical="top" wrapText="1"/>
    </xf>
    <xf numFmtId="4" fontId="10" fillId="43" borderId="12" xfId="0" applyNumberFormat="1" applyFont="1" applyFill="1" applyBorder="1" applyAlignment="1">
      <alignment/>
    </xf>
    <xf numFmtId="4" fontId="10" fillId="0" borderId="10" xfId="0" applyNumberFormat="1" applyFont="1" applyBorder="1" applyAlignment="1">
      <alignment/>
    </xf>
    <xf numFmtId="4" fontId="22" fillId="0" borderId="10" xfId="0" applyNumberFormat="1" applyFont="1" applyBorder="1" applyAlignment="1">
      <alignment/>
    </xf>
    <xf numFmtId="4" fontId="5" fillId="12" borderId="16" xfId="0" applyNumberFormat="1" applyFont="1" applyFill="1" applyBorder="1" applyAlignment="1" applyProtection="1">
      <alignment/>
      <protection/>
    </xf>
    <xf numFmtId="0" fontId="0" fillId="12" borderId="0" xfId="59" applyFont="1" applyFill="1" applyBorder="1" applyAlignment="1" applyProtection="1">
      <alignment horizontal="center"/>
      <protection/>
    </xf>
    <xf numFmtId="2" fontId="0" fillId="12" borderId="0" xfId="0" applyNumberFormat="1" applyFont="1" applyFill="1" applyAlignment="1" applyProtection="1">
      <alignment/>
      <protection/>
    </xf>
    <xf numFmtId="0" fontId="0" fillId="12" borderId="0" xfId="0" applyFont="1" applyFill="1" applyAlignment="1" applyProtection="1">
      <alignment/>
      <protection/>
    </xf>
    <xf numFmtId="4" fontId="0" fillId="12" borderId="10" xfId="0" applyNumberFormat="1" applyFont="1" applyFill="1" applyBorder="1" applyAlignment="1" applyProtection="1">
      <alignment/>
      <protection/>
    </xf>
    <xf numFmtId="0" fontId="0" fillId="35" borderId="0" xfId="59" applyFont="1" applyFill="1" applyAlignment="1" applyProtection="1">
      <alignment horizontal="center"/>
      <protection/>
    </xf>
    <xf numFmtId="0" fontId="0" fillId="35" borderId="0" xfId="0" applyFont="1" applyFill="1" applyAlignment="1" applyProtection="1">
      <alignment/>
      <protection/>
    </xf>
    <xf numFmtId="0" fontId="0" fillId="35" borderId="0" xfId="0" applyFont="1" applyFill="1" applyAlignment="1" applyProtection="1">
      <alignment/>
      <protection/>
    </xf>
    <xf numFmtId="184" fontId="0" fillId="0" borderId="10" xfId="59" applyNumberFormat="1" applyFont="1" applyBorder="1" applyAlignment="1" applyProtection="1">
      <alignment vertical="top" wrapText="1"/>
      <protection/>
    </xf>
    <xf numFmtId="0" fontId="0" fillId="0" borderId="0" xfId="59" applyFont="1" applyBorder="1" applyAlignment="1" applyProtection="1">
      <alignment horizontal="center"/>
      <protection/>
    </xf>
    <xf numFmtId="2" fontId="0" fillId="0" borderId="0" xfId="0" applyNumberFormat="1" applyFont="1" applyAlignment="1" applyProtection="1">
      <alignment/>
      <protection/>
    </xf>
    <xf numFmtId="4" fontId="0" fillId="0" borderId="10" xfId="59" applyNumberFormat="1" applyFont="1" applyBorder="1" applyProtection="1">
      <alignment/>
      <protection/>
    </xf>
    <xf numFmtId="4" fontId="0" fillId="0" borderId="0" xfId="59" applyNumberFormat="1" applyFont="1" applyBorder="1" applyAlignment="1" applyProtection="1">
      <alignment horizontal="right" vertical="top"/>
      <protection/>
    </xf>
    <xf numFmtId="2" fontId="0" fillId="0" borderId="0" xfId="59" applyNumberFormat="1" applyFont="1" applyBorder="1" applyAlignment="1" applyProtection="1">
      <alignment wrapText="1"/>
      <protection/>
    </xf>
    <xf numFmtId="4" fontId="0" fillId="0" borderId="0" xfId="59" applyNumberFormat="1" applyFont="1" applyBorder="1" applyAlignment="1" applyProtection="1">
      <alignment horizontal="right"/>
      <protection/>
    </xf>
    <xf numFmtId="4" fontId="0" fillId="0" borderId="0" xfId="59" applyNumberFormat="1" applyFont="1" applyBorder="1" applyProtection="1">
      <alignment/>
      <protection/>
    </xf>
    <xf numFmtId="4" fontId="4" fillId="12" borderId="10" xfId="59" applyNumberFormat="1" applyFont="1" applyFill="1" applyBorder="1" applyProtection="1">
      <alignment/>
      <protection/>
    </xf>
    <xf numFmtId="4" fontId="4" fillId="12" borderId="10" xfId="0" applyNumberFormat="1" applyFont="1" applyFill="1" applyBorder="1" applyAlignment="1" applyProtection="1">
      <alignment/>
      <protection/>
    </xf>
    <xf numFmtId="0" fontId="0" fillId="0" borderId="23" xfId="0" applyFont="1" applyBorder="1" applyAlignment="1" applyProtection="1">
      <alignment/>
      <protection/>
    </xf>
    <xf numFmtId="0" fontId="0" fillId="0" borderId="12" xfId="0" applyFont="1" applyBorder="1" applyAlignment="1" applyProtection="1">
      <alignment/>
      <protection/>
    </xf>
    <xf numFmtId="0" fontId="5" fillId="0" borderId="0" xfId="0" applyFont="1" applyAlignment="1" applyProtection="1">
      <alignment/>
      <protection/>
    </xf>
    <xf numFmtId="2" fontId="0" fillId="0" borderId="16" xfId="59" applyNumberFormat="1" applyFont="1" applyBorder="1" applyAlignment="1" applyProtection="1">
      <alignment vertical="top" wrapText="1"/>
      <protection/>
    </xf>
    <xf numFmtId="4" fontId="4" fillId="12" borderId="16" xfId="59" applyNumberFormat="1" applyFont="1" applyFill="1" applyBorder="1" applyAlignment="1" applyProtection="1">
      <alignment horizontal="right"/>
      <protection/>
    </xf>
    <xf numFmtId="4" fontId="5" fillId="33" borderId="16" xfId="0" applyNumberFormat="1" applyFont="1" applyFill="1" applyBorder="1" applyAlignment="1" applyProtection="1">
      <alignment/>
      <protection/>
    </xf>
    <xf numFmtId="2" fontId="0" fillId="0" borderId="0" xfId="59" applyNumberFormat="1" applyFont="1" applyProtection="1">
      <alignment/>
      <protection/>
    </xf>
    <xf numFmtId="0" fontId="0" fillId="0" borderId="12" xfId="59" applyFont="1" applyBorder="1" applyProtection="1">
      <alignment/>
      <protection/>
    </xf>
    <xf numFmtId="4" fontId="0" fillId="0" borderId="16" xfId="59" applyNumberFormat="1" applyFont="1" applyBorder="1" applyAlignment="1" applyProtection="1">
      <alignment horizontal="right"/>
      <protection/>
    </xf>
    <xf numFmtId="0" fontId="0" fillId="0" borderId="0" xfId="0" applyFont="1" applyBorder="1" applyAlignment="1" applyProtection="1">
      <alignment horizontal="center"/>
      <protection/>
    </xf>
    <xf numFmtId="2" fontId="5" fillId="0" borderId="0" xfId="0" applyNumberFormat="1" applyFont="1" applyAlignment="1" applyProtection="1">
      <alignment/>
      <protection/>
    </xf>
    <xf numFmtId="0" fontId="0" fillId="36" borderId="0" xfId="0" applyFont="1" applyFill="1" applyBorder="1" applyAlignment="1" applyProtection="1">
      <alignment horizontal="center"/>
      <protection/>
    </xf>
    <xf numFmtId="0" fontId="0" fillId="0" borderId="11" xfId="0" applyFont="1" applyBorder="1" applyAlignment="1" applyProtection="1">
      <alignment/>
      <protection/>
    </xf>
    <xf numFmtId="0" fontId="0" fillId="12" borderId="0" xfId="0" applyFont="1" applyFill="1" applyBorder="1" applyAlignment="1" applyProtection="1">
      <alignment horizontal="center"/>
      <protection/>
    </xf>
    <xf numFmtId="2" fontId="0" fillId="0" borderId="10" xfId="59" applyNumberFormat="1" applyFont="1" applyBorder="1" applyAlignment="1" applyProtection="1">
      <alignment vertical="top"/>
      <protection/>
    </xf>
    <xf numFmtId="4" fontId="0" fillId="0" borderId="10" xfId="59"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2" fontId="0" fillId="0" borderId="0" xfId="0" applyNumberFormat="1" applyFont="1" applyFill="1" applyAlignment="1" applyProtection="1">
      <alignment/>
      <protection/>
    </xf>
    <xf numFmtId="0" fontId="0" fillId="0" borderId="0" xfId="0" applyFont="1" applyFill="1" applyAlignment="1" applyProtection="1">
      <alignment/>
      <protection/>
    </xf>
    <xf numFmtId="4" fontId="4" fillId="12" borderId="16" xfId="0" applyNumberFormat="1" applyFont="1" applyFill="1" applyBorder="1" applyAlignment="1" applyProtection="1">
      <alignment/>
      <protection/>
    </xf>
    <xf numFmtId="0" fontId="0" fillId="12" borderId="0" xfId="0" applyFont="1" applyFill="1" applyBorder="1" applyAlignment="1" applyProtection="1">
      <alignment/>
      <protection/>
    </xf>
    <xf numFmtId="0" fontId="0" fillId="0" borderId="10" xfId="0" applyFont="1" applyBorder="1" applyAlignment="1" applyProtection="1">
      <alignment/>
      <protection/>
    </xf>
    <xf numFmtId="0" fontId="0" fillId="0" borderId="16" xfId="0" applyFont="1" applyBorder="1" applyAlignment="1" applyProtection="1">
      <alignment/>
      <protection/>
    </xf>
    <xf numFmtId="44" fontId="0" fillId="0" borderId="0" xfId="0" applyNumberFormat="1" applyFont="1" applyAlignment="1" applyProtection="1">
      <alignment/>
      <protection/>
    </xf>
    <xf numFmtId="4" fontId="0" fillId="0" borderId="13" xfId="59" applyNumberFormat="1" applyFont="1" applyBorder="1" applyAlignment="1" applyProtection="1">
      <alignment horizontal="right"/>
      <protection/>
    </xf>
    <xf numFmtId="4" fontId="47" fillId="0" borderId="0" xfId="0" applyNumberFormat="1" applyFont="1" applyFill="1" applyBorder="1" applyAlignment="1" applyProtection="1">
      <alignment wrapText="1"/>
      <protection/>
    </xf>
    <xf numFmtId="4" fontId="0" fillId="0" borderId="13" xfId="59" applyNumberFormat="1" applyFont="1" applyFill="1" applyBorder="1" applyAlignment="1" applyProtection="1">
      <alignment horizontal="right"/>
      <protection/>
    </xf>
    <xf numFmtId="4" fontId="0" fillId="0" borderId="0" xfId="0" applyNumberFormat="1" applyFont="1" applyFill="1" applyAlignment="1" applyProtection="1">
      <alignment/>
      <protection/>
    </xf>
    <xf numFmtId="0" fontId="0" fillId="0" borderId="0" xfId="0" applyFont="1" applyBorder="1" applyAlignment="1" applyProtection="1">
      <alignment/>
      <protection/>
    </xf>
    <xf numFmtId="0" fontId="0" fillId="35" borderId="0" xfId="0" applyFont="1" applyFill="1" applyBorder="1" applyAlignment="1" applyProtection="1">
      <alignment horizontal="center"/>
      <protection/>
    </xf>
    <xf numFmtId="0" fontId="0" fillId="35" borderId="0" xfId="0" applyFont="1" applyFill="1" applyBorder="1" applyAlignment="1" applyProtection="1">
      <alignment/>
      <protection/>
    </xf>
    <xf numFmtId="4" fontId="4" fillId="36" borderId="16" xfId="59" applyNumberFormat="1" applyFont="1" applyFill="1" applyBorder="1" applyAlignment="1" applyProtection="1">
      <alignment horizontal="right"/>
      <protection/>
    </xf>
    <xf numFmtId="0" fontId="0" fillId="36" borderId="0" xfId="0" applyFont="1" applyFill="1" applyBorder="1" applyAlignment="1" applyProtection="1">
      <alignment/>
      <protection/>
    </xf>
    <xf numFmtId="0" fontId="0" fillId="36" borderId="0" xfId="0" applyFont="1" applyFill="1" applyAlignment="1" applyProtection="1">
      <alignment/>
      <protection/>
    </xf>
    <xf numFmtId="4" fontId="0" fillId="36" borderId="10" xfId="0" applyNumberFormat="1" applyFont="1" applyFill="1" applyBorder="1" applyAlignment="1" applyProtection="1">
      <alignment/>
      <protection/>
    </xf>
    <xf numFmtId="4" fontId="4" fillId="0" borderId="16" xfId="59" applyNumberFormat="1" applyFont="1" applyFill="1" applyBorder="1" applyAlignment="1" applyProtection="1">
      <alignment horizontal="right"/>
      <protection/>
    </xf>
    <xf numFmtId="0" fontId="0" fillId="20" borderId="0" xfId="59" applyFont="1" applyFill="1" applyBorder="1" applyAlignment="1" applyProtection="1">
      <alignment horizontal="center"/>
      <protection/>
    </xf>
    <xf numFmtId="0" fontId="0" fillId="0" borderId="0" xfId="0" applyFont="1" applyFill="1" applyBorder="1" applyAlignment="1" applyProtection="1">
      <alignment/>
      <protection/>
    </xf>
    <xf numFmtId="4" fontId="0" fillId="0" borderId="10" xfId="0" applyNumberFormat="1" applyFont="1" applyFill="1" applyBorder="1" applyAlignment="1" applyProtection="1">
      <alignment/>
      <protection/>
    </xf>
    <xf numFmtId="0" fontId="0" fillId="35" borderId="0" xfId="0" applyFont="1" applyFill="1" applyAlignment="1" applyProtection="1">
      <alignment horizontal="center"/>
      <protection/>
    </xf>
    <xf numFmtId="4" fontId="0" fillId="0" borderId="16" xfId="59" applyNumberFormat="1" applyFont="1" applyFill="1" applyBorder="1" applyAlignment="1" applyProtection="1">
      <alignment horizontal="right"/>
      <protection/>
    </xf>
    <xf numFmtId="0" fontId="0" fillId="0" borderId="0" xfId="0" applyFont="1" applyAlignment="1" applyProtection="1">
      <alignment horizontal="center"/>
      <protection/>
    </xf>
    <xf numFmtId="0" fontId="0" fillId="12" borderId="0" xfId="0" applyFont="1" applyFill="1" applyAlignment="1" applyProtection="1">
      <alignment horizontal="center"/>
      <protection/>
    </xf>
    <xf numFmtId="4" fontId="0" fillId="0" borderId="0" xfId="0" applyNumberFormat="1" applyFont="1" applyAlignment="1" applyProtection="1">
      <alignment/>
      <protection/>
    </xf>
    <xf numFmtId="4" fontId="4" fillId="12" borderId="10" xfId="59"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4" fontId="5" fillId="12" borderId="16" xfId="59" applyNumberFormat="1" applyFont="1" applyFill="1" applyBorder="1" applyProtection="1">
      <alignment/>
      <protection/>
    </xf>
    <xf numFmtId="4" fontId="5" fillId="0" borderId="10" xfId="59" applyNumberFormat="1" applyFont="1" applyFill="1" applyBorder="1" applyProtection="1">
      <alignment/>
      <protection/>
    </xf>
    <xf numFmtId="4" fontId="22" fillId="0" borderId="12" xfId="0" applyNumberFormat="1" applyFont="1" applyBorder="1" applyAlignment="1">
      <alignment/>
    </xf>
    <xf numFmtId="4" fontId="22" fillId="0" borderId="16" xfId="0" applyNumberFormat="1" applyFont="1" applyBorder="1" applyAlignment="1">
      <alignment/>
    </xf>
    <xf numFmtId="4" fontId="4" fillId="43" borderId="16" xfId="0" applyNumberFormat="1" applyFont="1" applyFill="1" applyBorder="1" applyAlignment="1">
      <alignment/>
    </xf>
    <xf numFmtId="4" fontId="22" fillId="0" borderId="12" xfId="0" applyNumberFormat="1" applyFont="1" applyBorder="1" applyAlignment="1" applyProtection="1">
      <alignment/>
      <protection locked="0"/>
    </xf>
    <xf numFmtId="4" fontId="4" fillId="43" borderId="12" xfId="0" applyNumberFormat="1" applyFont="1" applyFill="1" applyBorder="1" applyAlignment="1" applyProtection="1">
      <alignment/>
      <protection locked="0"/>
    </xf>
    <xf numFmtId="0" fontId="80" fillId="0" borderId="0" xfId="0" applyFont="1" applyAlignment="1">
      <alignment horizontal="center"/>
    </xf>
    <xf numFmtId="2" fontId="0" fillId="0" borderId="12" xfId="59" applyNumberFormat="1" applyFont="1" applyBorder="1" applyAlignment="1">
      <alignment horizontal="left" vertical="top" wrapText="1"/>
      <protection/>
    </xf>
    <xf numFmtId="2" fontId="0" fillId="0" borderId="11" xfId="59" applyNumberFormat="1" applyFont="1" applyBorder="1" applyAlignment="1">
      <alignment horizontal="left" vertical="top" wrapText="1"/>
      <protection/>
    </xf>
    <xf numFmtId="2" fontId="0" fillId="0" borderId="16" xfId="59" applyNumberFormat="1" applyFont="1" applyBorder="1" applyAlignment="1">
      <alignment horizontal="left" vertical="top" wrapText="1"/>
      <protection/>
    </xf>
    <xf numFmtId="184" fontId="0" fillId="0" borderId="12" xfId="59" applyNumberFormat="1" applyFont="1" applyBorder="1" applyAlignment="1">
      <alignment horizontal="left" vertical="top" wrapText="1"/>
      <protection/>
    </xf>
    <xf numFmtId="184" fontId="0" fillId="0" borderId="11" xfId="59" applyNumberFormat="1" applyFont="1" applyBorder="1" applyAlignment="1">
      <alignment horizontal="left" vertical="top" wrapText="1"/>
      <protection/>
    </xf>
    <xf numFmtId="0" fontId="28" fillId="0" borderId="0" xfId="0" applyFont="1" applyAlignment="1">
      <alignment horizontal="left" vertical="top" wrapText="1"/>
    </xf>
    <xf numFmtId="4" fontId="5" fillId="0" borderId="22" xfId="0" applyNumberFormat="1" applyFont="1" applyBorder="1" applyAlignment="1">
      <alignment horizontal="center" vertical="top" wrapText="1"/>
    </xf>
    <xf numFmtId="4" fontId="5" fillId="0" borderId="0" xfId="0" applyNumberFormat="1" applyFont="1" applyAlignment="1">
      <alignment horizontal="center" vertical="top" wrapText="1"/>
    </xf>
    <xf numFmtId="0" fontId="0" fillId="0" borderId="35" xfId="0" applyFont="1" applyFill="1" applyBorder="1" applyAlignment="1">
      <alignment horizontal="right"/>
    </xf>
    <xf numFmtId="0" fontId="0" fillId="0" borderId="10" xfId="0" applyFont="1" applyFill="1" applyBorder="1" applyAlignment="1">
      <alignment horizontal="center"/>
    </xf>
    <xf numFmtId="0" fontId="0" fillId="0" borderId="10" xfId="0" applyFont="1" applyFill="1" applyBorder="1" applyAlignment="1">
      <alignment horizontal="right"/>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6" xfId="0" applyFont="1" applyFill="1" applyBorder="1" applyAlignment="1">
      <alignment horizontal="left" vertical="top" wrapText="1"/>
    </xf>
    <xf numFmtId="0" fontId="0" fillId="0" borderId="12"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left" vertical="top" wrapText="1"/>
      <protection/>
    </xf>
    <xf numFmtId="2" fontId="0" fillId="0" borderId="23" xfId="0" applyNumberFormat="1" applyFont="1" applyBorder="1" applyAlignment="1">
      <alignment horizontal="left" vertical="top" wrapText="1"/>
    </xf>
    <xf numFmtId="2" fontId="0" fillId="0" borderId="24" xfId="0" applyNumberFormat="1" applyFont="1" applyBorder="1" applyAlignment="1">
      <alignment horizontal="left" vertical="top" wrapText="1"/>
    </xf>
    <xf numFmtId="2" fontId="0" fillId="0" borderId="18" xfId="0" applyNumberFormat="1" applyFont="1" applyBorder="1" applyAlignment="1">
      <alignment horizontal="left" vertical="top" wrapText="1"/>
    </xf>
    <xf numFmtId="2" fontId="0" fillId="0" borderId="17" xfId="0" applyNumberFormat="1" applyFont="1" applyBorder="1" applyAlignment="1">
      <alignment horizontal="left" vertical="top" wrapText="1"/>
    </xf>
    <xf numFmtId="2" fontId="0" fillId="0" borderId="22" xfId="0" applyNumberFormat="1" applyFont="1" applyBorder="1" applyAlignment="1">
      <alignment horizontal="left" vertical="top" wrapText="1"/>
    </xf>
    <xf numFmtId="2" fontId="0" fillId="0" borderId="20" xfId="0" applyNumberFormat="1" applyFont="1" applyBorder="1" applyAlignment="1">
      <alignment horizontal="left" vertical="top" wrapText="1"/>
    </xf>
    <xf numFmtId="2" fontId="0" fillId="0" borderId="10" xfId="59" applyNumberFormat="1" applyFont="1" applyBorder="1" applyAlignment="1">
      <alignment horizontal="left" vertical="top" wrapText="1"/>
      <protection/>
    </xf>
    <xf numFmtId="2" fontId="0" fillId="0" borderId="12" xfId="0" applyNumberFormat="1" applyFont="1" applyFill="1" applyBorder="1" applyAlignment="1" applyProtection="1">
      <alignment horizontal="left" vertical="top" wrapText="1"/>
      <protection/>
    </xf>
    <xf numFmtId="2" fontId="0" fillId="0" borderId="11" xfId="0" applyNumberFormat="1" applyFont="1" applyFill="1" applyBorder="1" applyAlignment="1" applyProtection="1">
      <alignment horizontal="left" vertical="top" wrapText="1"/>
      <protection/>
    </xf>
    <xf numFmtId="2" fontId="0" fillId="0" borderId="16" xfId="0" applyNumberFormat="1" applyFont="1" applyFill="1" applyBorder="1" applyAlignment="1" applyProtection="1">
      <alignment horizontal="left" vertical="top" wrapText="1"/>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4" fontId="4" fillId="0" borderId="0" xfId="0" applyNumberFormat="1" applyFont="1" applyAlignment="1">
      <alignment horizontal="left" vertical="top" wrapText="1"/>
    </xf>
    <xf numFmtId="4" fontId="5" fillId="0" borderId="0" xfId="0" applyNumberFormat="1" applyFont="1" applyAlignment="1">
      <alignment horizontal="left" vertical="top" wrapText="1"/>
    </xf>
    <xf numFmtId="2" fontId="0" fillId="0" borderId="10" xfId="59" applyNumberFormat="1" applyFont="1" applyFill="1" applyBorder="1" applyAlignment="1">
      <alignment horizontal="left" vertical="top" wrapText="1"/>
      <protection/>
    </xf>
    <xf numFmtId="2" fontId="0" fillId="0" borderId="10" xfId="59" applyNumberFormat="1" applyFont="1" applyBorder="1" applyAlignment="1">
      <alignment horizontal="center" vertical="top" wrapText="1"/>
      <protection/>
    </xf>
    <xf numFmtId="184" fontId="0" fillId="0" borderId="10" xfId="59" applyNumberFormat="1" applyFont="1" applyBorder="1" applyAlignment="1">
      <alignment horizontal="left" vertical="top" wrapText="1"/>
      <protection/>
    </xf>
    <xf numFmtId="4" fontId="5" fillId="0" borderId="38" xfId="0" applyNumberFormat="1" applyFont="1" applyBorder="1" applyAlignment="1">
      <alignment horizontal="center" vertical="top" wrapText="1"/>
    </xf>
    <xf numFmtId="0" fontId="0" fillId="0" borderId="12" xfId="0" applyFont="1" applyFill="1" applyBorder="1" applyAlignment="1">
      <alignment horizontal="center" vertical="top"/>
    </xf>
    <xf numFmtId="0" fontId="0" fillId="0" borderId="11" xfId="0" applyFont="1" applyFill="1" applyBorder="1" applyAlignment="1">
      <alignment horizontal="center" vertical="top"/>
    </xf>
    <xf numFmtId="0" fontId="0" fillId="0" borderId="16" xfId="0" applyFont="1" applyFill="1" applyBorder="1" applyAlignment="1">
      <alignment horizontal="center" vertical="top"/>
    </xf>
    <xf numFmtId="49" fontId="1" fillId="24" borderId="10" xfId="0" applyNumberFormat="1" applyFont="1" applyFill="1" applyBorder="1" applyAlignment="1">
      <alignment horizontal="left" vertical="top" wrapText="1"/>
    </xf>
    <xf numFmtId="0" fontId="1" fillId="40" borderId="10" xfId="0" applyNumberFormat="1" applyFont="1" applyFill="1" applyBorder="1" applyAlignment="1">
      <alignment horizontal="left" vertical="top"/>
    </xf>
    <xf numFmtId="0" fontId="1" fillId="14" borderId="10" xfId="57" applyNumberFormat="1" applyFont="1" applyFill="1" applyBorder="1" applyAlignment="1">
      <alignment horizontal="left" vertical="top"/>
      <protection/>
    </xf>
    <xf numFmtId="0" fontId="4" fillId="42" borderId="41" xfId="0" applyFont="1" applyFill="1" applyBorder="1" applyAlignment="1">
      <alignment horizontal="left" vertical="center" wrapText="1"/>
    </xf>
    <xf numFmtId="0" fontId="4" fillId="42" borderId="38"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6" xfId="0" applyFont="1" applyFill="1" applyBorder="1" applyAlignment="1">
      <alignment vertical="center" wrapText="1"/>
    </xf>
    <xf numFmtId="0" fontId="4" fillId="42" borderId="31" xfId="0" applyFont="1" applyFill="1" applyBorder="1" applyAlignment="1">
      <alignment horizontal="left" vertical="center" wrapText="1"/>
    </xf>
    <xf numFmtId="0" fontId="10" fillId="42" borderId="27" xfId="0" applyFont="1" applyFill="1" applyBorder="1" applyAlignment="1">
      <alignment horizontal="left" vertical="center" wrapText="1"/>
    </xf>
    <xf numFmtId="0" fontId="10" fillId="37" borderId="31" xfId="0" applyFont="1" applyFill="1" applyBorder="1" applyAlignment="1">
      <alignment horizontal="right" vertical="center" wrapText="1"/>
    </xf>
    <xf numFmtId="0" fontId="0" fillId="0" borderId="25" xfId="0" applyFont="1" applyFill="1" applyBorder="1" applyAlignment="1">
      <alignment horizontal="right"/>
    </xf>
    <xf numFmtId="0" fontId="4" fillId="37" borderId="31"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 fontId="0" fillId="0" borderId="13"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44" borderId="42" xfId="0" applyFont="1" applyFill="1" applyBorder="1" applyAlignment="1">
      <alignment horizontal="right" vertical="center" wrapText="1"/>
    </xf>
    <xf numFmtId="0" fontId="19" fillId="44" borderId="42" xfId="0" applyFont="1" applyFill="1" applyBorder="1" applyAlignment="1">
      <alignment horizontal="right" vertical="center" wrapText="1"/>
    </xf>
    <xf numFmtId="0" fontId="80"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BJ'F' - spec ELEKTRO" xfId="58"/>
    <cellStyle name="Normal_Sheet1" xfId="59"/>
    <cellStyle name="Note" xfId="60"/>
    <cellStyle name="Output" xfId="61"/>
    <cellStyle name="Percent" xfId="62"/>
    <cellStyle name="Title" xfId="63"/>
    <cellStyle name="Total" xfId="64"/>
    <cellStyle name="Warning Text" xfId="65"/>
    <cellStyle name="Нормалан 2" xfId="66"/>
  </cellStyles>
  <dxfs count="13">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24"/>
  <sheetViews>
    <sheetView tabSelected="1" view="pageBreakPreview" zoomScaleSheetLayoutView="100" workbookViewId="0" topLeftCell="A1691">
      <selection activeCell="A1" sqref="A1:F1"/>
    </sheetView>
  </sheetViews>
  <sheetFormatPr defaultColWidth="9.28125" defaultRowHeight="12.75"/>
  <cols>
    <col min="1" max="1" width="10.140625" style="44" bestFit="1" customWidth="1"/>
    <col min="2" max="2" width="45.7109375" style="45" customWidth="1"/>
    <col min="3" max="3" width="4.57421875" style="53" bestFit="1" customWidth="1"/>
    <col min="4" max="4" width="10.7109375" style="54" customWidth="1"/>
    <col min="5" max="5" width="16.421875" style="46" customWidth="1"/>
    <col min="6" max="6" width="17.7109375" style="46" customWidth="1"/>
    <col min="7" max="8" width="9.28125" style="38" hidden="1" customWidth="1"/>
    <col min="9" max="12" width="9.140625" style="38" hidden="1" customWidth="1"/>
    <col min="13" max="13" width="2.421875" style="38" hidden="1" customWidth="1"/>
    <col min="14" max="14" width="17.421875" style="46" customWidth="1"/>
    <col min="15" max="15" width="15.421875" style="46" customWidth="1"/>
    <col min="16" max="139" width="9.140625" style="38" customWidth="1"/>
    <col min="140" max="142" width="9.28125" style="38" bestFit="1" customWidth="1"/>
    <col min="143" max="143" width="10.140625" style="38" bestFit="1" customWidth="1"/>
    <col min="144" max="146" width="9.28125" style="38" bestFit="1" customWidth="1"/>
    <col min="147" max="147" width="10.140625" style="38" bestFit="1" customWidth="1"/>
    <col min="148" max="150" width="9.28125" style="38" bestFit="1" customWidth="1"/>
    <col min="151" max="151" width="10.140625" style="38" bestFit="1" customWidth="1"/>
    <col min="152" max="154" width="9.28125" style="38" bestFit="1" customWidth="1"/>
    <col min="155" max="155" width="10.140625" style="38" bestFit="1" customWidth="1"/>
    <col min="156" max="158" width="9.28125" style="38" bestFit="1" customWidth="1"/>
    <col min="159" max="159" width="10.140625" style="38" bestFit="1" customWidth="1"/>
    <col min="160" max="162" width="9.28125" style="38" bestFit="1" customWidth="1"/>
    <col min="163" max="163" width="10.140625" style="38" bestFit="1" customWidth="1"/>
    <col min="164" max="166" width="9.28125" style="38" bestFit="1" customWidth="1"/>
    <col min="167" max="167" width="10.140625" style="38" bestFit="1" customWidth="1"/>
    <col min="168" max="170" width="9.28125" style="38" bestFit="1" customWidth="1"/>
    <col min="171" max="171" width="10.140625" style="38" bestFit="1" customWidth="1"/>
    <col min="172" max="174" width="9.28125" style="38" bestFit="1" customWidth="1"/>
    <col min="175" max="175" width="10.140625" style="38" bestFit="1" customWidth="1"/>
    <col min="176" max="178" width="9.28125" style="38" bestFit="1" customWidth="1"/>
    <col min="179" max="179" width="10.140625" style="38" bestFit="1" customWidth="1"/>
    <col min="180" max="182" width="9.28125" style="38" bestFit="1" customWidth="1"/>
    <col min="183" max="183" width="10.140625" style="38" bestFit="1" customWidth="1"/>
    <col min="184" max="186" width="9.28125" style="38" bestFit="1" customWidth="1"/>
    <col min="187" max="187" width="10.140625" style="38" bestFit="1" customWidth="1"/>
    <col min="188" max="190" width="9.28125" style="38" bestFit="1" customWidth="1"/>
    <col min="191" max="191" width="10.140625" style="38" bestFit="1" customWidth="1"/>
    <col min="192" max="194" width="9.28125" style="38" bestFit="1" customWidth="1"/>
    <col min="195" max="195" width="10.140625" style="38" bestFit="1" customWidth="1"/>
    <col min="196" max="198" width="9.28125" style="38" bestFit="1" customWidth="1"/>
    <col min="199" max="199" width="10.140625" style="38" bestFit="1" customWidth="1"/>
    <col min="200" max="202" width="9.28125" style="38" bestFit="1" customWidth="1"/>
    <col min="203" max="203" width="10.140625" style="38" bestFit="1" customWidth="1"/>
    <col min="204" max="206" width="9.28125" style="38" bestFit="1" customWidth="1"/>
    <col min="207" max="207" width="10.140625" style="38" bestFit="1" customWidth="1"/>
    <col min="208" max="210" width="9.28125" style="38" bestFit="1" customWidth="1"/>
    <col min="211" max="211" width="10.140625" style="38" bestFit="1" customWidth="1"/>
    <col min="212" max="214" width="9.28125" style="38" bestFit="1" customWidth="1"/>
    <col min="215" max="215" width="10.140625" style="38" bestFit="1" customWidth="1"/>
    <col min="216" max="218" width="9.28125" style="38" bestFit="1" customWidth="1"/>
    <col min="219" max="219" width="10.140625" style="38" bestFit="1" customWidth="1"/>
    <col min="220" max="222" width="9.28125" style="38" bestFit="1" customWidth="1"/>
    <col min="223" max="223" width="10.140625" style="38" bestFit="1" customWidth="1"/>
    <col min="224" max="226" width="9.28125" style="38" bestFit="1" customWidth="1"/>
    <col min="227" max="227" width="10.140625" style="38" bestFit="1" customWidth="1"/>
    <col min="228" max="230" width="9.28125" style="38" bestFit="1" customWidth="1"/>
    <col min="231" max="231" width="10.140625" style="38" bestFit="1" customWidth="1"/>
    <col min="232" max="234" width="9.28125" style="38" bestFit="1" customWidth="1"/>
    <col min="235" max="235" width="10.140625" style="38" bestFit="1" customWidth="1"/>
    <col min="236" max="238" width="9.28125" style="38" bestFit="1" customWidth="1"/>
    <col min="239" max="239" width="10.140625" style="38" bestFit="1" customWidth="1"/>
    <col min="240" max="242" width="9.28125" style="38" bestFit="1" customWidth="1"/>
    <col min="243" max="243" width="10.140625" style="38" bestFit="1" customWidth="1"/>
    <col min="244" max="246" width="9.28125" style="38" bestFit="1" customWidth="1"/>
    <col min="247" max="247" width="10.140625" style="38" bestFit="1" customWidth="1"/>
    <col min="248" max="250" width="9.28125" style="38" bestFit="1" customWidth="1"/>
    <col min="251" max="251" width="10.140625" style="38" bestFit="1" customWidth="1"/>
    <col min="252" max="254" width="9.28125" style="38" bestFit="1" customWidth="1"/>
    <col min="255" max="255" width="10.140625" style="38" bestFit="1" customWidth="1"/>
    <col min="256" max="16384" width="9.28125" style="38" bestFit="1" customWidth="1"/>
  </cols>
  <sheetData>
    <row r="1" spans="1:6" ht="15.75">
      <c r="A1" s="1220" t="s">
        <v>1265</v>
      </c>
      <c r="B1" s="1220"/>
      <c r="C1" s="1220"/>
      <c r="D1" s="1220"/>
      <c r="E1" s="1220"/>
      <c r="F1" s="1220"/>
    </row>
    <row r="2" spans="1:8" ht="30" customHeight="1">
      <c r="A2" s="1221" t="s">
        <v>1266</v>
      </c>
      <c r="B2" s="1221"/>
      <c r="C2" s="1221"/>
      <c r="D2" s="1221"/>
      <c r="E2" s="1221"/>
      <c r="F2" s="1221"/>
      <c r="G2" s="38" t="s">
        <v>0</v>
      </c>
      <c r="H2" s="38">
        <v>122</v>
      </c>
    </row>
    <row r="3" spans="1:9" ht="15" customHeight="1">
      <c r="A3" s="1197"/>
      <c r="B3" s="1197"/>
      <c r="C3" s="1197"/>
      <c r="D3" s="1197"/>
      <c r="E3" s="1197"/>
      <c r="F3" s="1197"/>
      <c r="I3" s="38">
        <v>120</v>
      </c>
    </row>
    <row r="4" spans="1:23" s="65" customFormat="1" ht="15.75">
      <c r="A4" s="602">
        <v>0</v>
      </c>
      <c r="B4" s="603" t="s">
        <v>235</v>
      </c>
      <c r="C4" s="604"/>
      <c r="D4" s="604"/>
      <c r="E4" s="605"/>
      <c r="F4" s="606"/>
      <c r="G4" s="607"/>
      <c r="H4" s="608"/>
      <c r="I4" s="608"/>
      <c r="J4" s="609"/>
      <c r="K4" s="609"/>
      <c r="L4" s="608"/>
      <c r="M4" s="609"/>
      <c r="N4" s="615"/>
      <c r="O4" s="615"/>
      <c r="Q4" s="38"/>
      <c r="R4" s="38"/>
      <c r="S4" s="38"/>
      <c r="U4" s="38"/>
      <c r="V4" s="38"/>
      <c r="W4" s="38"/>
    </row>
    <row r="5" spans="1:23" s="66" customFormat="1" ht="25.5">
      <c r="A5" s="630" t="s">
        <v>38</v>
      </c>
      <c r="B5" s="629" t="s">
        <v>39</v>
      </c>
      <c r="C5" s="628" t="s">
        <v>40</v>
      </c>
      <c r="D5" s="628" t="s">
        <v>41</v>
      </c>
      <c r="E5" s="599" t="s">
        <v>1261</v>
      </c>
      <c r="F5" s="599" t="s">
        <v>1262</v>
      </c>
      <c r="G5" s="600"/>
      <c r="H5" s="601"/>
      <c r="I5" s="601"/>
      <c r="J5" s="146"/>
      <c r="K5" s="146"/>
      <c r="L5" s="601"/>
      <c r="M5" s="146"/>
      <c r="N5" s="631" t="s">
        <v>1264</v>
      </c>
      <c r="O5" s="631" t="s">
        <v>1263</v>
      </c>
      <c r="Q5" s="38"/>
      <c r="R5" s="38"/>
      <c r="S5" s="38"/>
      <c r="U5" s="38"/>
      <c r="V5" s="38"/>
      <c r="W5" s="38"/>
    </row>
    <row r="6" spans="1:15" ht="102">
      <c r="A6" s="110">
        <v>0.01</v>
      </c>
      <c r="B6" s="111" t="s">
        <v>275</v>
      </c>
      <c r="C6" s="1057" t="s">
        <v>276</v>
      </c>
      <c r="D6" s="1058">
        <v>1</v>
      </c>
      <c r="E6" s="1059"/>
      <c r="F6" s="1040">
        <f aca="true" t="shared" si="0" ref="F6:F11">D6*E6</f>
        <v>0</v>
      </c>
      <c r="G6" s="1041"/>
      <c r="H6" s="1042"/>
      <c r="I6" s="1042"/>
      <c r="J6" s="1042"/>
      <c r="K6" s="1042"/>
      <c r="L6" s="1042"/>
      <c r="M6" s="1042"/>
      <c r="N6" s="1043">
        <f aca="true" t="shared" si="1" ref="N6:N18">E6*1.2</f>
        <v>0</v>
      </c>
      <c r="O6" s="1043">
        <f aca="true" t="shared" si="2" ref="O6:O18">D6*N6</f>
        <v>0</v>
      </c>
    </row>
    <row r="7" spans="1:15" ht="76.5">
      <c r="A7" s="110">
        <v>0.02</v>
      </c>
      <c r="B7" s="166" t="s">
        <v>277</v>
      </c>
      <c r="C7" s="1057" t="s">
        <v>276</v>
      </c>
      <c r="D7" s="1058">
        <v>1</v>
      </c>
      <c r="E7" s="1059"/>
      <c r="F7" s="1040">
        <f t="shared" si="0"/>
        <v>0</v>
      </c>
      <c r="G7" s="1041"/>
      <c r="H7" s="1042"/>
      <c r="I7" s="1042"/>
      <c r="J7" s="1042"/>
      <c r="K7" s="1042"/>
      <c r="L7" s="1042"/>
      <c r="M7" s="1042"/>
      <c r="N7" s="1043">
        <f t="shared" si="1"/>
        <v>0</v>
      </c>
      <c r="O7" s="1043">
        <f t="shared" si="2"/>
        <v>0</v>
      </c>
    </row>
    <row r="8" spans="1:15" ht="51">
      <c r="A8" s="110">
        <v>0.03</v>
      </c>
      <c r="B8" s="111" t="s">
        <v>278</v>
      </c>
      <c r="C8" s="1057" t="s">
        <v>276</v>
      </c>
      <c r="D8" s="1058">
        <v>1</v>
      </c>
      <c r="E8" s="1059"/>
      <c r="F8" s="7">
        <f t="shared" si="0"/>
        <v>0</v>
      </c>
      <c r="G8" s="165"/>
      <c r="N8" s="89">
        <f t="shared" si="1"/>
        <v>0</v>
      </c>
      <c r="O8" s="89">
        <f t="shared" si="2"/>
        <v>0</v>
      </c>
    </row>
    <row r="9" spans="1:15" ht="51">
      <c r="A9" s="110">
        <v>0.04</v>
      </c>
      <c r="B9" s="111" t="s">
        <v>279</v>
      </c>
      <c r="C9" s="1057" t="s">
        <v>276</v>
      </c>
      <c r="D9" s="1058">
        <v>1</v>
      </c>
      <c r="E9" s="1059"/>
      <c r="F9" s="7">
        <f t="shared" si="0"/>
        <v>0</v>
      </c>
      <c r="G9" s="165"/>
      <c r="N9" s="89">
        <f t="shared" si="1"/>
        <v>0</v>
      </c>
      <c r="O9" s="89">
        <f t="shared" si="2"/>
        <v>0</v>
      </c>
    </row>
    <row r="10" spans="1:15" ht="51">
      <c r="A10" s="110">
        <v>0.05</v>
      </c>
      <c r="B10" s="111" t="s">
        <v>280</v>
      </c>
      <c r="C10" s="1057" t="s">
        <v>276</v>
      </c>
      <c r="D10" s="1058">
        <v>1</v>
      </c>
      <c r="E10" s="1059"/>
      <c r="F10" s="7">
        <f t="shared" si="0"/>
        <v>0</v>
      </c>
      <c r="G10" s="165"/>
      <c r="N10" s="89">
        <f t="shared" si="1"/>
        <v>0</v>
      </c>
      <c r="O10" s="89">
        <f t="shared" si="2"/>
        <v>0</v>
      </c>
    </row>
    <row r="11" spans="1:15" ht="76.5">
      <c r="A11" s="110">
        <v>0.06</v>
      </c>
      <c r="B11" s="111" t="s">
        <v>281</v>
      </c>
      <c r="C11" s="1057" t="s">
        <v>276</v>
      </c>
      <c r="D11" s="1058">
        <v>1</v>
      </c>
      <c r="E11" s="1059"/>
      <c r="F11" s="7">
        <f t="shared" si="0"/>
        <v>0</v>
      </c>
      <c r="G11" s="167"/>
      <c r="H11" s="39"/>
      <c r="I11" s="39"/>
      <c r="N11" s="89">
        <f t="shared" si="1"/>
        <v>0</v>
      </c>
      <c r="O11" s="89">
        <f t="shared" si="2"/>
        <v>0</v>
      </c>
    </row>
    <row r="12" spans="1:15" ht="89.25">
      <c r="A12" s="1060">
        <v>0.07</v>
      </c>
      <c r="B12" s="1061" t="s">
        <v>282</v>
      </c>
      <c r="C12" s="1057" t="s">
        <v>276</v>
      </c>
      <c r="D12" s="1058">
        <v>1</v>
      </c>
      <c r="E12" s="1059"/>
      <c r="F12" s="7">
        <f>E12*D12</f>
        <v>0</v>
      </c>
      <c r="G12" s="167"/>
      <c r="H12" s="39"/>
      <c r="I12" s="39"/>
      <c r="N12" s="89">
        <f t="shared" si="1"/>
        <v>0</v>
      </c>
      <c r="O12" s="89">
        <f t="shared" si="2"/>
        <v>0</v>
      </c>
    </row>
    <row r="13" spans="1:15" ht="114.75">
      <c r="A13" s="110">
        <v>0.08</v>
      </c>
      <c r="B13" s="111" t="s">
        <v>44</v>
      </c>
      <c r="C13" s="1057" t="s">
        <v>45</v>
      </c>
      <c r="D13" s="1058">
        <v>20</v>
      </c>
      <c r="E13" s="1059"/>
      <c r="F13" s="7">
        <f>D13*E13</f>
        <v>0</v>
      </c>
      <c r="G13" s="26">
        <v>20</v>
      </c>
      <c r="H13" s="39"/>
      <c r="I13" s="39"/>
      <c r="N13" s="89">
        <f t="shared" si="1"/>
        <v>0</v>
      </c>
      <c r="O13" s="89">
        <f t="shared" si="2"/>
        <v>0</v>
      </c>
    </row>
    <row r="14" spans="1:15" ht="114.75">
      <c r="A14" s="1060">
        <v>0.09</v>
      </c>
      <c r="B14" s="166" t="s">
        <v>46</v>
      </c>
      <c r="C14" s="1057" t="s">
        <v>45</v>
      </c>
      <c r="D14" s="1058">
        <v>20</v>
      </c>
      <c r="E14" s="1059"/>
      <c r="F14" s="7">
        <f>D14*E14</f>
        <v>0</v>
      </c>
      <c r="G14" s="26">
        <v>5</v>
      </c>
      <c r="H14" s="39"/>
      <c r="I14" s="39"/>
      <c r="N14" s="89">
        <f t="shared" si="1"/>
        <v>0</v>
      </c>
      <c r="O14" s="89">
        <f t="shared" si="2"/>
        <v>0</v>
      </c>
    </row>
    <row r="15" spans="1:15" ht="165.75">
      <c r="A15" s="1062">
        <v>0.1</v>
      </c>
      <c r="B15" s="1063" t="s">
        <v>169</v>
      </c>
      <c r="C15" s="1057" t="s">
        <v>45</v>
      </c>
      <c r="D15" s="1064">
        <f>61.87*11.1</f>
        <v>686.757</v>
      </c>
      <c r="E15" s="1059"/>
      <c r="F15" s="7">
        <f>D15*E15</f>
        <v>0</v>
      </c>
      <c r="G15" s="26">
        <v>5</v>
      </c>
      <c r="H15" s="39"/>
      <c r="I15" s="39"/>
      <c r="N15" s="89">
        <f t="shared" si="1"/>
        <v>0</v>
      </c>
      <c r="O15" s="89">
        <f t="shared" si="2"/>
        <v>0</v>
      </c>
    </row>
    <row r="16" spans="1:15" ht="114.75">
      <c r="A16" s="1060">
        <v>0.11</v>
      </c>
      <c r="B16" s="1061" t="s">
        <v>170</v>
      </c>
      <c r="C16" s="1057" t="s">
        <v>47</v>
      </c>
      <c r="D16" s="1064">
        <v>1</v>
      </c>
      <c r="E16" s="1059"/>
      <c r="F16" s="7">
        <f>E16*D16</f>
        <v>0</v>
      </c>
      <c r="G16" s="26">
        <v>250</v>
      </c>
      <c r="H16" s="39"/>
      <c r="I16" s="39"/>
      <c r="N16" s="89">
        <f t="shared" si="1"/>
        <v>0</v>
      </c>
      <c r="O16" s="89">
        <f t="shared" si="2"/>
        <v>0</v>
      </c>
    </row>
    <row r="17" spans="1:15" ht="51">
      <c r="A17" s="1060">
        <v>0.12</v>
      </c>
      <c r="B17" s="1061" t="s">
        <v>48</v>
      </c>
      <c r="C17" s="1057" t="s">
        <v>47</v>
      </c>
      <c r="D17" s="1058">
        <v>2</v>
      </c>
      <c r="E17" s="1059"/>
      <c r="F17" s="7">
        <f>E17*D17</f>
        <v>0</v>
      </c>
      <c r="G17" s="26">
        <v>20</v>
      </c>
      <c r="H17" s="39"/>
      <c r="I17" s="39"/>
      <c r="N17" s="89">
        <f t="shared" si="1"/>
        <v>0</v>
      </c>
      <c r="O17" s="89">
        <f t="shared" si="2"/>
        <v>0</v>
      </c>
    </row>
    <row r="18" spans="1:15" ht="76.5">
      <c r="A18" s="1060">
        <v>0.13</v>
      </c>
      <c r="B18" s="1061" t="s">
        <v>49</v>
      </c>
      <c r="C18" s="1057" t="s">
        <v>45</v>
      </c>
      <c r="D18" s="1058">
        <f>177.62+198+198.65+201.32</f>
        <v>775.5899999999999</v>
      </c>
      <c r="E18" s="1059"/>
      <c r="F18" s="7">
        <f>E18*D18</f>
        <v>0</v>
      </c>
      <c r="G18" s="26">
        <v>1</v>
      </c>
      <c r="H18" s="39"/>
      <c r="I18" s="39"/>
      <c r="N18" s="89">
        <f t="shared" si="1"/>
        <v>0</v>
      </c>
      <c r="O18" s="89">
        <f t="shared" si="2"/>
        <v>0</v>
      </c>
    </row>
    <row r="19" spans="1:23" s="65" customFormat="1" ht="15.75">
      <c r="A19" s="1065">
        <v>0</v>
      </c>
      <c r="B19" s="1066" t="s">
        <v>37</v>
      </c>
      <c r="C19" s="1067"/>
      <c r="D19" s="1068"/>
      <c r="E19" s="1068" t="s">
        <v>50</v>
      </c>
      <c r="F19" s="612">
        <f>SUM(F6:F18)</f>
        <v>0</v>
      </c>
      <c r="G19" s="613"/>
      <c r="H19" s="614"/>
      <c r="I19" s="614"/>
      <c r="J19" s="609"/>
      <c r="K19" s="609"/>
      <c r="L19" s="608"/>
      <c r="M19" s="609"/>
      <c r="N19" s="615"/>
      <c r="O19" s="616">
        <f>SUM(O6:O18)</f>
        <v>0</v>
      </c>
      <c r="Q19" s="38"/>
      <c r="R19" s="38"/>
      <c r="S19" s="38"/>
      <c r="U19" s="38"/>
      <c r="V19" s="38"/>
      <c r="W19" s="38"/>
    </row>
    <row r="20" spans="1:15" ht="12.75">
      <c r="A20" s="1048"/>
      <c r="B20" s="1048"/>
      <c r="C20" s="1048"/>
      <c r="D20" s="1048"/>
      <c r="E20" s="1048"/>
      <c r="F20" s="38"/>
      <c r="N20" s="89"/>
      <c r="O20" s="89"/>
    </row>
    <row r="21" spans="1:23" s="65" customFormat="1" ht="15.75">
      <c r="A21" s="1049">
        <v>1</v>
      </c>
      <c r="B21" s="1050" t="s">
        <v>171</v>
      </c>
      <c r="C21" s="1051"/>
      <c r="D21" s="1051"/>
      <c r="E21" s="1052"/>
      <c r="F21" s="606"/>
      <c r="G21" s="607"/>
      <c r="H21" s="608"/>
      <c r="I21" s="608"/>
      <c r="J21" s="609"/>
      <c r="K21" s="609"/>
      <c r="L21" s="608"/>
      <c r="M21" s="609"/>
      <c r="N21" s="615"/>
      <c r="O21" s="615"/>
      <c r="Q21" s="38"/>
      <c r="R21" s="38"/>
      <c r="S21" s="38"/>
      <c r="U21" s="38"/>
      <c r="V21" s="38"/>
      <c r="W21" s="38"/>
    </row>
    <row r="22" spans="1:15" ht="25.5">
      <c r="A22" s="1053" t="s">
        <v>38</v>
      </c>
      <c r="B22" s="1054" t="s">
        <v>39</v>
      </c>
      <c r="C22" s="1055" t="s">
        <v>40</v>
      </c>
      <c r="D22" s="1055" t="s">
        <v>41</v>
      </c>
      <c r="E22" s="1056" t="s">
        <v>1261</v>
      </c>
      <c r="F22" s="599" t="s">
        <v>1262</v>
      </c>
      <c r="G22" s="600"/>
      <c r="H22" s="601"/>
      <c r="I22" s="601"/>
      <c r="J22" s="146"/>
      <c r="K22" s="146"/>
      <c r="L22" s="601"/>
      <c r="M22" s="146"/>
      <c r="N22" s="631" t="s">
        <v>1264</v>
      </c>
      <c r="O22" s="631" t="s">
        <v>1263</v>
      </c>
    </row>
    <row r="23" spans="1:15" ht="12.75">
      <c r="A23" s="1048"/>
      <c r="B23" s="1048"/>
      <c r="C23" s="1048"/>
      <c r="D23" s="1048"/>
      <c r="E23" s="1048"/>
      <c r="F23" s="38"/>
      <c r="N23" s="89"/>
      <c r="O23" s="89"/>
    </row>
    <row r="24" spans="1:15" ht="12.75">
      <c r="A24" s="1062"/>
      <c r="B24" s="1069"/>
      <c r="C24" s="1057"/>
      <c r="D24" s="1070"/>
      <c r="E24" s="1071"/>
      <c r="F24" s="7"/>
      <c r="G24" s="171"/>
      <c r="H24" s="39"/>
      <c r="I24" s="39"/>
      <c r="N24" s="89"/>
      <c r="O24" s="89"/>
    </row>
    <row r="25" spans="1:15" s="66" customFormat="1" ht="63.75">
      <c r="A25" s="1062">
        <v>1.01</v>
      </c>
      <c r="B25" s="1069" t="s">
        <v>284</v>
      </c>
      <c r="C25" s="1072" t="s">
        <v>45</v>
      </c>
      <c r="D25" s="1070">
        <v>126</v>
      </c>
      <c r="E25" s="1059"/>
      <c r="F25" s="7">
        <f>D25*E25</f>
        <v>0</v>
      </c>
      <c r="G25" s="171">
        <v>10</v>
      </c>
      <c r="H25" s="145"/>
      <c r="I25" s="145"/>
      <c r="N25" s="84">
        <f>E25*1.2</f>
        <v>0</v>
      </c>
      <c r="O25" s="84">
        <f>N25*D25</f>
        <v>0</v>
      </c>
    </row>
    <row r="26" spans="1:15" ht="102">
      <c r="A26" s="1060">
        <v>1.02</v>
      </c>
      <c r="B26" s="111" t="s">
        <v>51</v>
      </c>
      <c r="C26" s="1057" t="s">
        <v>45</v>
      </c>
      <c r="D26" s="1070">
        <f>5.95*5.5</f>
        <v>32.725</v>
      </c>
      <c r="E26" s="1059"/>
      <c r="F26" s="7">
        <f>D26*E26</f>
        <v>0</v>
      </c>
      <c r="G26" s="171">
        <v>10</v>
      </c>
      <c r="H26" s="39"/>
      <c r="I26" s="39"/>
      <c r="N26" s="84">
        <f>E26*1.2</f>
        <v>0</v>
      </c>
      <c r="O26" s="84">
        <f>N26*D26</f>
        <v>0</v>
      </c>
    </row>
    <row r="27" spans="1:70" ht="127.5">
      <c r="A27" s="1062">
        <v>1.03</v>
      </c>
      <c r="B27" s="1069" t="s">
        <v>283</v>
      </c>
      <c r="C27" s="1073"/>
      <c r="D27" s="1048"/>
      <c r="E27" s="1071"/>
      <c r="F27" s="7"/>
      <c r="G27" s="171"/>
      <c r="H27" s="39"/>
      <c r="I27" s="39"/>
      <c r="J27" s="39"/>
      <c r="K27" s="39"/>
      <c r="L27" s="39"/>
      <c r="M27" s="39"/>
      <c r="N27" s="84"/>
      <c r="O27" s="84"/>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row>
    <row r="28" spans="1:70" ht="12.75">
      <c r="A28" s="1074"/>
      <c r="B28" s="1075" t="s">
        <v>52</v>
      </c>
      <c r="C28" s="1057" t="s">
        <v>45</v>
      </c>
      <c r="D28" s="1070">
        <f>1.6*2.58</f>
        <v>4.128</v>
      </c>
      <c r="E28" s="1076"/>
      <c r="F28" s="27"/>
      <c r="G28" s="171"/>
      <c r="H28" s="39"/>
      <c r="I28" s="39"/>
      <c r="J28" s="39"/>
      <c r="K28" s="39"/>
      <c r="L28" s="39"/>
      <c r="M28" s="39"/>
      <c r="N28" s="84"/>
      <c r="O28" s="84"/>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row>
    <row r="29" spans="1:70" s="215" customFormat="1" ht="12.75">
      <c r="A29" s="1077"/>
      <c r="B29" s="1069" t="s">
        <v>199</v>
      </c>
      <c r="C29" s="1078" t="s">
        <v>45</v>
      </c>
      <c r="D29" s="1079">
        <f>16.25*7.5</f>
        <v>121.875</v>
      </c>
      <c r="E29" s="1071"/>
      <c r="F29" s="58"/>
      <c r="G29" s="272"/>
      <c r="I29" s="39"/>
      <c r="J29" s="39"/>
      <c r="K29" s="39"/>
      <c r="L29" s="39"/>
      <c r="M29" s="39"/>
      <c r="N29" s="84"/>
      <c r="O29" s="84"/>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row>
    <row r="30" spans="1:70" s="215" customFormat="1" ht="12.75">
      <c r="A30" s="1077"/>
      <c r="B30" s="1069" t="s">
        <v>53</v>
      </c>
      <c r="C30" s="1072" t="s">
        <v>45</v>
      </c>
      <c r="D30" s="1070">
        <f>SUM(D28:D29)</f>
        <v>126.003</v>
      </c>
      <c r="E30" s="1059"/>
      <c r="F30" s="7">
        <f>D30*E30</f>
        <v>0</v>
      </c>
      <c r="G30" s="171">
        <v>35</v>
      </c>
      <c r="I30" s="39"/>
      <c r="J30" s="39"/>
      <c r="K30" s="39"/>
      <c r="L30" s="39"/>
      <c r="M30" s="39"/>
      <c r="N30" s="84">
        <f>E30*1.2</f>
        <v>0</v>
      </c>
      <c r="O30" s="84">
        <f>N30*D30</f>
        <v>0</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row>
    <row r="31" spans="1:70" s="273" customFormat="1" ht="12.75">
      <c r="A31" s="1082"/>
      <c r="B31" s="1081"/>
      <c r="C31" s="1057"/>
      <c r="D31" s="1070"/>
      <c r="E31" s="1082"/>
      <c r="I31" s="39"/>
      <c r="J31" s="39"/>
      <c r="K31" s="39"/>
      <c r="L31" s="39"/>
      <c r="M31" s="39"/>
      <c r="N31" s="89"/>
      <c r="O31" s="8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1:70" ht="15.75">
      <c r="A32" s="1065">
        <v>1</v>
      </c>
      <c r="B32" s="1066" t="s">
        <v>171</v>
      </c>
      <c r="C32" s="1083"/>
      <c r="D32" s="1084"/>
      <c r="E32" s="1068" t="s">
        <v>61</v>
      </c>
      <c r="F32" s="612">
        <f>SUM(F25:F30)</f>
        <v>0</v>
      </c>
      <c r="G32" s="613"/>
      <c r="H32" s="619"/>
      <c r="I32" s="620"/>
      <c r="J32" s="620"/>
      <c r="K32" s="620"/>
      <c r="L32" s="620"/>
      <c r="M32" s="620"/>
      <c r="N32" s="615"/>
      <c r="O32" s="616">
        <f>SUM(O25:O30)</f>
        <v>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9:70" s="165" customFormat="1" ht="12.75">
      <c r="I33" s="167"/>
      <c r="J33" s="167"/>
      <c r="K33" s="167"/>
      <c r="L33" s="167"/>
      <c r="M33" s="167"/>
      <c r="N33" s="33"/>
      <c r="O33" s="33"/>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row>
    <row r="34" spans="9:70" s="165" customFormat="1" ht="12.75">
      <c r="I34" s="167"/>
      <c r="J34" s="167"/>
      <c r="K34" s="167"/>
      <c r="L34" s="167"/>
      <c r="M34" s="167"/>
      <c r="N34" s="33"/>
      <c r="O34" s="33"/>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row>
    <row r="35" spans="1:70" ht="15.75">
      <c r="A35" s="621">
        <v>2</v>
      </c>
      <c r="B35" s="622" t="s">
        <v>253</v>
      </c>
      <c r="C35" s="623"/>
      <c r="D35" s="624"/>
      <c r="E35" s="625"/>
      <c r="F35" s="626"/>
      <c r="G35" s="627"/>
      <c r="H35" s="619"/>
      <c r="I35" s="620"/>
      <c r="J35" s="620"/>
      <c r="K35" s="620"/>
      <c r="L35" s="620"/>
      <c r="M35" s="620"/>
      <c r="N35" s="615"/>
      <c r="O35" s="615"/>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row>
    <row r="36" spans="1:15" ht="25.5">
      <c r="A36" s="630" t="s">
        <v>38</v>
      </c>
      <c r="B36" s="629" t="s">
        <v>39</v>
      </c>
      <c r="C36" s="628" t="s">
        <v>40</v>
      </c>
      <c r="D36" s="628" t="s">
        <v>41</v>
      </c>
      <c r="E36" s="599" t="s">
        <v>1261</v>
      </c>
      <c r="F36" s="599" t="s">
        <v>1262</v>
      </c>
      <c r="G36" s="600"/>
      <c r="H36" s="601"/>
      <c r="I36" s="601"/>
      <c r="J36" s="146"/>
      <c r="K36" s="146"/>
      <c r="L36" s="601"/>
      <c r="M36" s="146"/>
      <c r="N36" s="631" t="s">
        <v>1264</v>
      </c>
      <c r="O36" s="631" t="s">
        <v>1263</v>
      </c>
    </row>
    <row r="37" spans="1:15" ht="79.5" customHeight="1">
      <c r="A37" s="8"/>
      <c r="B37" s="1204" t="s">
        <v>54</v>
      </c>
      <c r="C37" s="1205"/>
      <c r="D37" s="1205"/>
      <c r="E37" s="1206"/>
      <c r="F37" s="1099"/>
      <c r="G37" s="271"/>
      <c r="H37" s="97"/>
      <c r="I37" s="39"/>
      <c r="N37" s="89"/>
      <c r="O37" s="89"/>
    </row>
    <row r="38" spans="1:15" ht="166.5" customHeight="1">
      <c r="A38" s="60"/>
      <c r="B38" s="1204" t="s">
        <v>55</v>
      </c>
      <c r="C38" s="1205"/>
      <c r="D38" s="1205"/>
      <c r="E38" s="1206"/>
      <c r="F38" s="1099"/>
      <c r="G38" s="271"/>
      <c r="H38" s="97"/>
      <c r="I38" s="39"/>
      <c r="N38" s="89"/>
      <c r="O38" s="89"/>
    </row>
    <row r="39" spans="1:15" ht="79.5" customHeight="1">
      <c r="A39" s="8"/>
      <c r="B39" s="1190" t="s">
        <v>56</v>
      </c>
      <c r="C39" s="1191"/>
      <c r="D39" s="1191"/>
      <c r="E39" s="1192"/>
      <c r="F39" s="1100"/>
      <c r="G39" s="26"/>
      <c r="H39" s="97"/>
      <c r="I39" s="39"/>
      <c r="N39" s="89"/>
      <c r="O39" s="89"/>
    </row>
    <row r="40" spans="1:15" ht="76.5">
      <c r="A40" s="49">
        <v>2.01</v>
      </c>
      <c r="B40" s="170" t="s">
        <v>285</v>
      </c>
      <c r="C40" s="1057"/>
      <c r="D40" s="1060"/>
      <c r="E40" s="1059"/>
      <c r="F40" s="89"/>
      <c r="G40" s="26"/>
      <c r="H40" s="97"/>
      <c r="I40" s="39"/>
      <c r="N40" s="89"/>
      <c r="O40" s="89"/>
    </row>
    <row r="41" spans="1:15" ht="25.5">
      <c r="A41" s="8"/>
      <c r="B41" s="212" t="s">
        <v>202</v>
      </c>
      <c r="C41" s="1048"/>
      <c r="D41" s="1048"/>
      <c r="E41" s="1073"/>
      <c r="F41" s="38"/>
      <c r="H41" s="97"/>
      <c r="I41" s="39"/>
      <c r="N41" s="89"/>
      <c r="O41" s="89"/>
    </row>
    <row r="42" spans="1:15" ht="12.75">
      <c r="A42" s="8"/>
      <c r="B42" s="212" t="s">
        <v>286</v>
      </c>
      <c r="C42" s="1057" t="s">
        <v>57</v>
      </c>
      <c r="D42" s="1058">
        <f>93.76*1.1</f>
        <v>103.13600000000001</v>
      </c>
      <c r="E42" s="1073"/>
      <c r="F42" s="124"/>
      <c r="H42" s="97"/>
      <c r="I42" s="39"/>
      <c r="N42" s="89"/>
      <c r="O42" s="89"/>
    </row>
    <row r="43" spans="1:15" ht="25.5">
      <c r="A43" s="8"/>
      <c r="B43" s="212" t="s">
        <v>58</v>
      </c>
      <c r="C43" s="1048"/>
      <c r="D43" s="1048"/>
      <c r="E43" s="1059"/>
      <c r="F43" s="82"/>
      <c r="G43" s="26"/>
      <c r="H43" s="97"/>
      <c r="I43" s="39"/>
      <c r="N43" s="89"/>
      <c r="O43" s="89"/>
    </row>
    <row r="44" spans="1:15" ht="12.75">
      <c r="A44" s="8"/>
      <c r="B44" s="212" t="s">
        <v>287</v>
      </c>
      <c r="C44" s="1057" t="s">
        <v>57</v>
      </c>
      <c r="D44" s="1058">
        <f>11.21*0.71</f>
        <v>7.9591</v>
      </c>
      <c r="E44" s="1059"/>
      <c r="F44" s="82"/>
      <c r="G44" s="26"/>
      <c r="H44" s="97"/>
      <c r="I44" s="39"/>
      <c r="N44" s="89"/>
      <c r="O44" s="89"/>
    </row>
    <row r="45" spans="1:15" ht="12.75">
      <c r="A45" s="8"/>
      <c r="B45" s="212" t="s">
        <v>53</v>
      </c>
      <c r="C45" s="1057" t="s">
        <v>57</v>
      </c>
      <c r="D45" s="1058">
        <f>SUM(D42:D44)</f>
        <v>111.09510000000002</v>
      </c>
      <c r="E45" s="1059"/>
      <c r="F45" s="82">
        <f>D45*E45</f>
        <v>0</v>
      </c>
      <c r="G45" s="26">
        <v>6</v>
      </c>
      <c r="H45" s="97"/>
      <c r="I45" s="39"/>
      <c r="N45" s="89">
        <f>E45*1.2</f>
        <v>0</v>
      </c>
      <c r="O45" s="89">
        <f>N45*D45</f>
        <v>0</v>
      </c>
    </row>
    <row r="46" spans="1:15" ht="38.25">
      <c r="A46" s="8">
        <v>2.02</v>
      </c>
      <c r="B46" s="212" t="s">
        <v>59</v>
      </c>
      <c r="C46" s="1048"/>
      <c r="D46" s="1048"/>
      <c r="E46" s="1048"/>
      <c r="F46" s="38"/>
      <c r="H46" s="97"/>
      <c r="I46" s="39"/>
      <c r="N46" s="89"/>
      <c r="O46" s="89"/>
    </row>
    <row r="47" spans="1:15" ht="12.75">
      <c r="A47" s="8"/>
      <c r="B47" s="212" t="s">
        <v>288</v>
      </c>
      <c r="C47" s="1057" t="s">
        <v>57</v>
      </c>
      <c r="D47" s="1058">
        <f>(7.5+2.8*2+1.3+2.4+4.24+16.14+1.2)*0.6</f>
        <v>23.028000000000002</v>
      </c>
      <c r="E47" s="1059"/>
      <c r="F47" s="82">
        <f>D47*E47</f>
        <v>0</v>
      </c>
      <c r="G47" s="26">
        <v>3</v>
      </c>
      <c r="H47" s="97"/>
      <c r="I47" s="39"/>
      <c r="N47" s="89">
        <f>E47*1.2</f>
        <v>0</v>
      </c>
      <c r="O47" s="89">
        <f>N47*D47</f>
        <v>0</v>
      </c>
    </row>
    <row r="48" spans="1:15" ht="76.5">
      <c r="A48" s="8">
        <v>2.03</v>
      </c>
      <c r="B48" s="63" t="s">
        <v>272</v>
      </c>
      <c r="C48" s="1057" t="s">
        <v>45</v>
      </c>
      <c r="D48" s="1073"/>
      <c r="E48" s="1073"/>
      <c r="F48" s="125"/>
      <c r="G48" s="26"/>
      <c r="H48" s="97"/>
      <c r="I48" s="39"/>
      <c r="N48" s="89"/>
      <c r="O48" s="89"/>
    </row>
    <row r="49" spans="1:15" ht="12.75">
      <c r="A49" s="8"/>
      <c r="B49" s="85" t="s">
        <v>60</v>
      </c>
      <c r="C49" s="1057"/>
      <c r="D49" s="1085">
        <f>94</f>
        <v>94</v>
      </c>
      <c r="E49" s="1059"/>
      <c r="F49" s="82"/>
      <c r="G49" s="26"/>
      <c r="H49" s="97"/>
      <c r="I49" s="39"/>
      <c r="N49" s="89"/>
      <c r="O49" s="89"/>
    </row>
    <row r="50" spans="1:15" ht="12.75">
      <c r="A50" s="8"/>
      <c r="B50" s="85" t="s">
        <v>230</v>
      </c>
      <c r="C50" s="1057"/>
      <c r="D50" s="1085">
        <v>192.3</v>
      </c>
      <c r="E50" s="1059"/>
      <c r="F50" s="82"/>
      <c r="G50" s="26"/>
      <c r="H50" s="97"/>
      <c r="I50" s="39"/>
      <c r="N50" s="89"/>
      <c r="O50" s="89"/>
    </row>
    <row r="51" spans="1:15" ht="12.75">
      <c r="A51" s="8"/>
      <c r="B51" s="85" t="s">
        <v>273</v>
      </c>
      <c r="C51" s="1057"/>
      <c r="D51" s="1085">
        <f>0.8*9</f>
        <v>7.2</v>
      </c>
      <c r="E51" s="1059"/>
      <c r="F51" s="82"/>
      <c r="G51" s="26"/>
      <c r="H51" s="97"/>
      <c r="I51" s="39"/>
      <c r="N51" s="89"/>
      <c r="O51" s="89"/>
    </row>
    <row r="52" spans="1:15" ht="12.75">
      <c r="A52" s="8"/>
      <c r="B52" s="85" t="s">
        <v>53</v>
      </c>
      <c r="C52" s="1057"/>
      <c r="D52" s="1085">
        <f>SUM(D49:D51)</f>
        <v>293.5</v>
      </c>
      <c r="E52" s="1059"/>
      <c r="F52" s="82">
        <f>D52*E52</f>
        <v>0</v>
      </c>
      <c r="G52" s="26">
        <v>3.5</v>
      </c>
      <c r="H52" s="97"/>
      <c r="I52" s="39"/>
      <c r="N52" s="89">
        <f>E52*1.2</f>
        <v>0</v>
      </c>
      <c r="O52" s="89">
        <f>N52*D52</f>
        <v>0</v>
      </c>
    </row>
    <row r="53" spans="1:15" s="150" customFormat="1" ht="102">
      <c r="A53" s="102">
        <v>2.04</v>
      </c>
      <c r="B53" s="255" t="s">
        <v>316</v>
      </c>
      <c r="C53" s="1087"/>
      <c r="D53" s="1088"/>
      <c r="E53" s="1088"/>
      <c r="F53" s="177"/>
      <c r="G53" s="267"/>
      <c r="H53" s="178"/>
      <c r="I53" s="149"/>
      <c r="N53" s="89"/>
      <c r="O53" s="89"/>
    </row>
    <row r="54" spans="1:15" s="150" customFormat="1" ht="12.75">
      <c r="A54" s="102"/>
      <c r="B54" s="176"/>
      <c r="C54" s="1087" t="s">
        <v>45</v>
      </c>
      <c r="D54" s="1085">
        <f>11.22</f>
        <v>11.22</v>
      </c>
      <c r="E54" s="1090"/>
      <c r="F54" s="82">
        <f>D54*E54</f>
        <v>0</v>
      </c>
      <c r="G54" s="267">
        <v>3.5</v>
      </c>
      <c r="H54" s="178"/>
      <c r="I54" s="149"/>
      <c r="N54" s="89">
        <f>E54*1.2</f>
        <v>0</v>
      </c>
      <c r="O54" s="89">
        <f>N54*D54</f>
        <v>0</v>
      </c>
    </row>
    <row r="55" spans="1:15" ht="12.75">
      <c r="A55" s="8"/>
      <c r="B55" s="85"/>
      <c r="C55" s="1057"/>
      <c r="D55" s="1058"/>
      <c r="E55" s="1059"/>
      <c r="F55" s="7"/>
      <c r="G55" s="26"/>
      <c r="H55" s="97"/>
      <c r="I55" s="39"/>
      <c r="N55" s="89"/>
      <c r="O55" s="89"/>
    </row>
    <row r="56" spans="1:15" ht="15.75">
      <c r="A56" s="610">
        <v>2</v>
      </c>
      <c r="B56" s="611" t="s">
        <v>184</v>
      </c>
      <c r="C56" s="1083"/>
      <c r="D56" s="1084"/>
      <c r="E56" s="1068" t="s">
        <v>96</v>
      </c>
      <c r="F56" s="612">
        <f>SUM(F40:F55)</f>
        <v>0</v>
      </c>
      <c r="G56" s="613"/>
      <c r="H56" s="619"/>
      <c r="I56" s="620"/>
      <c r="J56" s="609"/>
      <c r="K56" s="609"/>
      <c r="L56" s="609"/>
      <c r="M56" s="609"/>
      <c r="N56" s="615"/>
      <c r="O56" s="616">
        <f>SUM(O40:O55)</f>
        <v>0</v>
      </c>
    </row>
    <row r="57" spans="1:15" ht="12.75">
      <c r="A57" s="31"/>
      <c r="B57" s="32"/>
      <c r="C57" s="26"/>
      <c r="D57" s="27"/>
      <c r="E57" s="33"/>
      <c r="F57" s="33"/>
      <c r="G57" s="26"/>
      <c r="H57" s="97"/>
      <c r="I57" s="39"/>
      <c r="N57" s="48"/>
      <c r="O57" s="48"/>
    </row>
    <row r="58" spans="1:15" ht="12.75">
      <c r="A58" s="31"/>
      <c r="B58" s="32"/>
      <c r="C58" s="26"/>
      <c r="D58" s="27"/>
      <c r="E58" s="33"/>
      <c r="F58" s="33"/>
      <c r="G58" s="26"/>
      <c r="H58" s="97"/>
      <c r="I58" s="39"/>
      <c r="N58" s="48"/>
      <c r="O58" s="48"/>
    </row>
    <row r="59" spans="1:15" ht="15.75">
      <c r="A59" s="621">
        <v>3</v>
      </c>
      <c r="B59" s="648" t="s">
        <v>21</v>
      </c>
      <c r="C59" s="649"/>
      <c r="D59" s="650"/>
      <c r="E59" s="650"/>
      <c r="F59" s="651"/>
      <c r="G59" s="613"/>
      <c r="H59" s="619"/>
      <c r="I59" s="620"/>
      <c r="J59" s="609"/>
      <c r="K59" s="609"/>
      <c r="L59" s="609"/>
      <c r="M59" s="609"/>
      <c r="N59" s="615"/>
      <c r="O59" s="615"/>
    </row>
    <row r="60" spans="1:15" ht="25.5">
      <c r="A60" s="630" t="s">
        <v>38</v>
      </c>
      <c r="B60" s="629" t="s">
        <v>39</v>
      </c>
      <c r="C60" s="628" t="s">
        <v>40</v>
      </c>
      <c r="D60" s="628" t="s">
        <v>41</v>
      </c>
      <c r="E60" s="599" t="s">
        <v>1261</v>
      </c>
      <c r="F60" s="599" t="s">
        <v>1262</v>
      </c>
      <c r="G60" s="600"/>
      <c r="H60" s="601"/>
      <c r="I60" s="601"/>
      <c r="J60" s="146"/>
      <c r="K60" s="146"/>
      <c r="L60" s="601"/>
      <c r="M60" s="146"/>
      <c r="N60" s="631" t="s">
        <v>1264</v>
      </c>
      <c r="O60" s="631" t="s">
        <v>1263</v>
      </c>
    </row>
    <row r="61" spans="1:15" ht="159.75" customHeight="1">
      <c r="A61" s="49"/>
      <c r="B61" s="1190" t="s">
        <v>62</v>
      </c>
      <c r="C61" s="1191"/>
      <c r="D61" s="1191"/>
      <c r="E61" s="1192"/>
      <c r="F61" s="1102"/>
      <c r="G61" s="171"/>
      <c r="H61" s="97"/>
      <c r="I61" s="39"/>
      <c r="N61" s="89"/>
      <c r="O61" s="89"/>
    </row>
    <row r="62" spans="1:15" ht="12.75">
      <c r="A62" s="67"/>
      <c r="B62" s="1207" t="s">
        <v>63</v>
      </c>
      <c r="C62" s="1208"/>
      <c r="D62" s="1208"/>
      <c r="E62" s="1209"/>
      <c r="F62" s="1103"/>
      <c r="G62" s="171"/>
      <c r="H62" s="97"/>
      <c r="I62" s="39"/>
      <c r="N62" s="89"/>
      <c r="O62" s="89"/>
    </row>
    <row r="63" spans="1:15" ht="12.75" customHeight="1">
      <c r="A63" s="68"/>
      <c r="B63" s="1210" t="s">
        <v>64</v>
      </c>
      <c r="C63" s="1211"/>
      <c r="D63" s="1211"/>
      <c r="E63" s="1212"/>
      <c r="F63" s="1103"/>
      <c r="G63" s="171"/>
      <c r="H63" s="97"/>
      <c r="I63" s="39"/>
      <c r="N63" s="89"/>
      <c r="O63" s="89"/>
    </row>
    <row r="64" spans="1:15" ht="12.75">
      <c r="A64" s="31"/>
      <c r="B64" s="32"/>
      <c r="C64" s="26"/>
      <c r="D64" s="27"/>
      <c r="E64" s="33"/>
      <c r="F64" s="33"/>
      <c r="G64" s="171"/>
      <c r="H64" s="97"/>
      <c r="I64" s="39"/>
      <c r="N64" s="89"/>
      <c r="O64" s="89"/>
    </row>
    <row r="65" spans="1:15" ht="63.75">
      <c r="A65" s="1062">
        <v>3.01</v>
      </c>
      <c r="B65" s="166" t="s">
        <v>289</v>
      </c>
      <c r="C65" s="1057"/>
      <c r="D65" s="1059"/>
      <c r="E65" s="1059"/>
      <c r="F65" s="7"/>
      <c r="G65" s="171"/>
      <c r="H65" s="97"/>
      <c r="I65" s="39"/>
      <c r="N65" s="89"/>
      <c r="O65" s="89"/>
    </row>
    <row r="66" spans="1:15" ht="12.75">
      <c r="A66" s="1062"/>
      <c r="B66" s="166" t="s">
        <v>65</v>
      </c>
      <c r="C66" s="1057"/>
      <c r="D66" s="1059">
        <f>(5.45*3.35)+(2.8*3.35-0.91*2-1.62*1.05)+(5.1*3.35-0.91*2-1.88*1.05)+(4.85*3.35)+(4.85*3.35)+(4*3.35-1.01*2)+(5.6*3.35-0.81*2-1.01*2)+(3*3.35)+(2.95*1.15)+(1.68*1.35)+(5.25*3.35)+(1.4*3.35-0.91*2)+5.7</f>
        <v>138.2705</v>
      </c>
      <c r="E66" s="1059"/>
      <c r="F66" s="7"/>
      <c r="G66" s="171"/>
      <c r="H66" s="97"/>
      <c r="I66" s="39"/>
      <c r="N66" s="89"/>
      <c r="O66" s="89"/>
    </row>
    <row r="67" spans="1:15" ht="12.75">
      <c r="A67" s="1062" t="s">
        <v>18</v>
      </c>
      <c r="B67" s="166" t="s">
        <v>174</v>
      </c>
      <c r="C67" s="1057"/>
      <c r="D67" s="1059">
        <f>4.85*3.2*2+4.6*3.2</f>
        <v>45.76</v>
      </c>
      <c r="E67" s="1059"/>
      <c r="F67" s="7"/>
      <c r="G67" s="171"/>
      <c r="H67" s="97"/>
      <c r="I67" s="39"/>
      <c r="N67" s="89"/>
      <c r="O67" s="89"/>
    </row>
    <row r="68" spans="1:15" ht="12.75">
      <c r="A68" s="1062"/>
      <c r="B68" s="166" t="s">
        <v>175</v>
      </c>
      <c r="C68" s="1057"/>
      <c r="D68" s="1059">
        <f>2*4.85*3.2</f>
        <v>31.04</v>
      </c>
      <c r="E68" s="1059"/>
      <c r="F68" s="7"/>
      <c r="G68" s="171"/>
      <c r="H68" s="97"/>
      <c r="I68" s="39"/>
      <c r="N68" s="89"/>
      <c r="O68" s="89"/>
    </row>
    <row r="69" spans="1:15" ht="12.75">
      <c r="A69" s="1062"/>
      <c r="B69" s="166" t="s">
        <v>66</v>
      </c>
      <c r="C69" s="1057"/>
      <c r="D69" s="1059">
        <f>2*8.7+7.32</f>
        <v>24.72</v>
      </c>
      <c r="E69" s="1059"/>
      <c r="F69" s="7"/>
      <c r="G69" s="171"/>
      <c r="H69" s="97"/>
      <c r="I69" s="39"/>
      <c r="N69" s="89"/>
      <c r="O69" s="89"/>
    </row>
    <row r="70" spans="1:256" ht="12.75">
      <c r="A70" s="1058"/>
      <c r="B70" s="1058" t="s">
        <v>53</v>
      </c>
      <c r="C70" s="1058" t="s">
        <v>45</v>
      </c>
      <c r="D70" s="1058">
        <f>SUM(D66:D69)</f>
        <v>239.79049999999998</v>
      </c>
      <c r="E70" s="1059"/>
      <c r="F70" s="82">
        <f>D70*E70</f>
        <v>0</v>
      </c>
      <c r="G70" s="171">
        <v>14.5</v>
      </c>
      <c r="H70" s="98"/>
      <c r="I70" s="26"/>
      <c r="L70" s="26"/>
      <c r="N70" s="89">
        <f>E70*1.2</f>
        <v>0</v>
      </c>
      <c r="O70" s="89">
        <f>N70*D70</f>
        <v>0</v>
      </c>
      <c r="P70" s="26"/>
      <c r="T70" s="26"/>
      <c r="X70" s="26"/>
      <c r="Y70" s="7"/>
      <c r="Z70" s="69"/>
      <c r="AA70" s="82"/>
      <c r="AB70" s="26"/>
      <c r="AC70" s="7"/>
      <c r="AD70" s="69"/>
      <c r="AE70" s="82"/>
      <c r="AF70" s="26"/>
      <c r="AG70" s="7"/>
      <c r="AH70" s="69"/>
      <c r="AI70" s="82"/>
      <c r="AJ70" s="26"/>
      <c r="AK70" s="7"/>
      <c r="AL70" s="69"/>
      <c r="AM70" s="82"/>
      <c r="AN70" s="26"/>
      <c r="AO70" s="7"/>
      <c r="AP70" s="69"/>
      <c r="AQ70" s="82"/>
      <c r="AR70" s="26"/>
      <c r="AS70" s="7"/>
      <c r="AT70" s="69"/>
      <c r="AU70" s="82"/>
      <c r="AV70" s="26"/>
      <c r="AW70" s="7"/>
      <c r="AX70" s="69"/>
      <c r="AY70" s="82"/>
      <c r="AZ70" s="26"/>
      <c r="BA70" s="7"/>
      <c r="BB70" s="69"/>
      <c r="BC70" s="82"/>
      <c r="BD70" s="26"/>
      <c r="BE70" s="7"/>
      <c r="BF70" s="69"/>
      <c r="BG70" s="82"/>
      <c r="BH70" s="26"/>
      <c r="BI70" s="7"/>
      <c r="BJ70" s="69"/>
      <c r="BK70" s="82"/>
      <c r="BL70" s="26"/>
      <c r="BM70" s="7"/>
      <c r="BN70" s="69"/>
      <c r="BO70" s="82"/>
      <c r="BP70" s="26"/>
      <c r="BQ70" s="7"/>
      <c r="BR70" s="69"/>
      <c r="BS70" s="82"/>
      <c r="BT70" s="26"/>
      <c r="BU70" s="7"/>
      <c r="BV70" s="69"/>
      <c r="BW70" s="82"/>
      <c r="BX70" s="26"/>
      <c r="BY70" s="7"/>
      <c r="BZ70" s="69"/>
      <c r="CA70" s="82"/>
      <c r="CB70" s="26"/>
      <c r="CC70" s="7"/>
      <c r="CD70" s="69"/>
      <c r="CE70" s="82"/>
      <c r="CF70" s="26"/>
      <c r="CG70" s="7"/>
      <c r="CH70" s="69"/>
      <c r="CI70" s="82"/>
      <c r="CJ70" s="26"/>
      <c r="CK70" s="7"/>
      <c r="CL70" s="69"/>
      <c r="CM70" s="82"/>
      <c r="CN70" s="26"/>
      <c r="CO70" s="7"/>
      <c r="CP70" s="69"/>
      <c r="CQ70" s="82"/>
      <c r="CR70" s="26"/>
      <c r="CS70" s="7"/>
      <c r="CT70" s="69"/>
      <c r="CU70" s="82"/>
      <c r="CV70" s="26"/>
      <c r="CW70" s="7"/>
      <c r="CX70" s="69"/>
      <c r="CY70" s="82"/>
      <c r="CZ70" s="26"/>
      <c r="DA70" s="7"/>
      <c r="DB70" s="69"/>
      <c r="DC70" s="82"/>
      <c r="DD70" s="26"/>
      <c r="DE70" s="7"/>
      <c r="DF70" s="69"/>
      <c r="DG70" s="82"/>
      <c r="DH70" s="26"/>
      <c r="DI70" s="7"/>
      <c r="DJ70" s="69"/>
      <c r="DK70" s="82"/>
      <c r="DL70" s="26"/>
      <c r="DM70" s="7"/>
      <c r="DN70" s="69"/>
      <c r="DO70" s="82"/>
      <c r="DP70" s="26"/>
      <c r="DQ70" s="7"/>
      <c r="DR70" s="69"/>
      <c r="DS70" s="82"/>
      <c r="DT70" s="26"/>
      <c r="DU70" s="7"/>
      <c r="DV70" s="69"/>
      <c r="DW70" s="82"/>
      <c r="DX70" s="26"/>
      <c r="DY70" s="7"/>
      <c r="DZ70" s="69"/>
      <c r="EA70" s="82"/>
      <c r="EB70" s="26"/>
      <c r="EC70" s="7"/>
      <c r="ED70" s="69"/>
      <c r="EE70" s="82"/>
      <c r="EF70" s="26"/>
      <c r="EG70" s="7"/>
      <c r="EH70" s="69"/>
      <c r="EI70" s="82"/>
      <c r="EJ70" s="26">
        <v>10</v>
      </c>
      <c r="EK70" s="7">
        <f>67.7*1.3</f>
        <v>88.01</v>
      </c>
      <c r="EL70" s="69">
        <f>$H$2*EN70</f>
        <v>1220</v>
      </c>
      <c r="EM70" s="82">
        <f>EK70*EL70</f>
        <v>107372.20000000001</v>
      </c>
      <c r="EN70" s="26">
        <v>10</v>
      </c>
      <c r="EO70" s="7">
        <f>67.7*1.3</f>
        <v>88.01</v>
      </c>
      <c r="EP70" s="69">
        <f>$H$2*ER70</f>
        <v>1220</v>
      </c>
      <c r="EQ70" s="82">
        <f>EO70*EP70</f>
        <v>107372.20000000001</v>
      </c>
      <c r="ER70" s="26">
        <v>10</v>
      </c>
      <c r="ES70" s="7">
        <f>67.7*1.3</f>
        <v>88.01</v>
      </c>
      <c r="ET70" s="69">
        <f>$H$2*EV70</f>
        <v>1220</v>
      </c>
      <c r="EU70" s="82">
        <f>ES70*ET70</f>
        <v>107372.20000000001</v>
      </c>
      <c r="EV70" s="26">
        <v>10</v>
      </c>
      <c r="EW70" s="7">
        <f>67.7*1.3</f>
        <v>88.01</v>
      </c>
      <c r="EX70" s="69">
        <f>$H$2*EZ70</f>
        <v>1220</v>
      </c>
      <c r="EY70" s="82">
        <f>EW70*EX70</f>
        <v>107372.20000000001</v>
      </c>
      <c r="EZ70" s="26">
        <v>10</v>
      </c>
      <c r="FA70" s="7">
        <f>67.7*1.3</f>
        <v>88.01</v>
      </c>
      <c r="FB70" s="69">
        <f>$H$2*FD70</f>
        <v>1220</v>
      </c>
      <c r="FC70" s="82">
        <f>FA70*FB70</f>
        <v>107372.20000000001</v>
      </c>
      <c r="FD70" s="26">
        <v>10</v>
      </c>
      <c r="FE70" s="7">
        <f>67.7*1.3</f>
        <v>88.01</v>
      </c>
      <c r="FF70" s="69">
        <f>$H$2*FH70</f>
        <v>1220</v>
      </c>
      <c r="FG70" s="82">
        <f>FE70*FF70</f>
        <v>107372.20000000001</v>
      </c>
      <c r="FH70" s="26">
        <v>10</v>
      </c>
      <c r="FI70" s="7">
        <f>67.7*1.3</f>
        <v>88.01</v>
      </c>
      <c r="FJ70" s="69">
        <f>$H$2*FL70</f>
        <v>1220</v>
      </c>
      <c r="FK70" s="82">
        <f>FI70*FJ70</f>
        <v>107372.20000000001</v>
      </c>
      <c r="FL70" s="26">
        <v>10</v>
      </c>
      <c r="FM70" s="7">
        <f>67.7*1.3</f>
        <v>88.01</v>
      </c>
      <c r="FN70" s="69">
        <f>$H$2*FP70</f>
        <v>1220</v>
      </c>
      <c r="FO70" s="82">
        <f>FM70*FN70</f>
        <v>107372.20000000001</v>
      </c>
      <c r="FP70" s="26">
        <v>10</v>
      </c>
      <c r="FQ70" s="7">
        <f>67.7*1.3</f>
        <v>88.01</v>
      </c>
      <c r="FR70" s="69">
        <f>$H$2*FT70</f>
        <v>1220</v>
      </c>
      <c r="FS70" s="82">
        <f>FQ70*FR70</f>
        <v>107372.20000000001</v>
      </c>
      <c r="FT70" s="26">
        <v>10</v>
      </c>
      <c r="FU70" s="7">
        <f>67.7*1.3</f>
        <v>88.01</v>
      </c>
      <c r="FV70" s="69">
        <f>$H$2*FX70</f>
        <v>1220</v>
      </c>
      <c r="FW70" s="82">
        <f>FU70*FV70</f>
        <v>107372.20000000001</v>
      </c>
      <c r="FX70" s="26">
        <v>10</v>
      </c>
      <c r="FY70" s="7">
        <f>67.7*1.3</f>
        <v>88.01</v>
      </c>
      <c r="FZ70" s="69">
        <f>$H$2*GB70</f>
        <v>1220</v>
      </c>
      <c r="GA70" s="82">
        <f>FY70*FZ70</f>
        <v>107372.20000000001</v>
      </c>
      <c r="GB70" s="26">
        <v>10</v>
      </c>
      <c r="GC70" s="7">
        <f>67.7*1.3</f>
        <v>88.01</v>
      </c>
      <c r="GD70" s="69">
        <f>$H$2*GF70</f>
        <v>1220</v>
      </c>
      <c r="GE70" s="82">
        <f>GC70*GD70</f>
        <v>107372.20000000001</v>
      </c>
      <c r="GF70" s="26">
        <v>10</v>
      </c>
      <c r="GG70" s="7">
        <f>67.7*1.3</f>
        <v>88.01</v>
      </c>
      <c r="GH70" s="69">
        <f>$H$2*GJ70</f>
        <v>1220</v>
      </c>
      <c r="GI70" s="82">
        <f>GG70*GH70</f>
        <v>107372.20000000001</v>
      </c>
      <c r="GJ70" s="26">
        <v>10</v>
      </c>
      <c r="GK70" s="7">
        <f>67.7*1.3</f>
        <v>88.01</v>
      </c>
      <c r="GL70" s="69">
        <f>$H$2*GN70</f>
        <v>1220</v>
      </c>
      <c r="GM70" s="82">
        <f>GK70*GL70</f>
        <v>107372.20000000001</v>
      </c>
      <c r="GN70" s="26">
        <v>10</v>
      </c>
      <c r="GO70" s="7">
        <f>67.7*1.3</f>
        <v>88.01</v>
      </c>
      <c r="GP70" s="69">
        <f>$H$2*GR70</f>
        <v>1220</v>
      </c>
      <c r="GQ70" s="82">
        <f>GO70*GP70</f>
        <v>107372.20000000001</v>
      </c>
      <c r="GR70" s="26">
        <v>10</v>
      </c>
      <c r="GS70" s="7">
        <f>67.7*1.3</f>
        <v>88.01</v>
      </c>
      <c r="GT70" s="69">
        <f>$H$2*GV70</f>
        <v>1220</v>
      </c>
      <c r="GU70" s="82">
        <f>GS70*GT70</f>
        <v>107372.20000000001</v>
      </c>
      <c r="GV70" s="26">
        <v>10</v>
      </c>
      <c r="GW70" s="7">
        <f>67.7*1.3</f>
        <v>88.01</v>
      </c>
      <c r="GX70" s="69">
        <f>$H$2*GZ70</f>
        <v>1220</v>
      </c>
      <c r="GY70" s="82">
        <f>GW70*GX70</f>
        <v>107372.20000000001</v>
      </c>
      <c r="GZ70" s="26">
        <v>10</v>
      </c>
      <c r="HA70" s="7">
        <f>67.7*1.3</f>
        <v>88.01</v>
      </c>
      <c r="HB70" s="69">
        <f>$H$2*HD70</f>
        <v>1220</v>
      </c>
      <c r="HC70" s="82">
        <f>HA70*HB70</f>
        <v>107372.20000000001</v>
      </c>
      <c r="HD70" s="26">
        <v>10</v>
      </c>
      <c r="HE70" s="7">
        <f>67.7*1.3</f>
        <v>88.01</v>
      </c>
      <c r="HF70" s="69">
        <f>$H$2*HH70</f>
        <v>1220</v>
      </c>
      <c r="HG70" s="82">
        <f>HE70*HF70</f>
        <v>107372.20000000001</v>
      </c>
      <c r="HH70" s="26">
        <v>10</v>
      </c>
      <c r="HI70" s="7">
        <f>67.7*1.3</f>
        <v>88.01</v>
      </c>
      <c r="HJ70" s="69">
        <f>$H$2*HL70</f>
        <v>1220</v>
      </c>
      <c r="HK70" s="82">
        <f>HI70*HJ70</f>
        <v>107372.20000000001</v>
      </c>
      <c r="HL70" s="26">
        <v>10</v>
      </c>
      <c r="HM70" s="7">
        <f>67.7*1.3</f>
        <v>88.01</v>
      </c>
      <c r="HN70" s="69">
        <f>$H$2*HP70</f>
        <v>1220</v>
      </c>
      <c r="HO70" s="82">
        <f>HM70*HN70</f>
        <v>107372.20000000001</v>
      </c>
      <c r="HP70" s="26">
        <v>10</v>
      </c>
      <c r="HQ70" s="7">
        <f>67.7*1.3</f>
        <v>88.01</v>
      </c>
      <c r="HR70" s="69">
        <f>$H$2*HT70</f>
        <v>1220</v>
      </c>
      <c r="HS70" s="82">
        <f>HQ70*HR70</f>
        <v>107372.20000000001</v>
      </c>
      <c r="HT70" s="26">
        <v>10</v>
      </c>
      <c r="HU70" s="7">
        <f>67.7*1.3</f>
        <v>88.01</v>
      </c>
      <c r="HV70" s="69">
        <f>$H$2*HX70</f>
        <v>1220</v>
      </c>
      <c r="HW70" s="82">
        <f>HU70*HV70</f>
        <v>107372.20000000001</v>
      </c>
      <c r="HX70" s="26">
        <v>10</v>
      </c>
      <c r="HY70" s="7">
        <f>67.7*1.3</f>
        <v>88.01</v>
      </c>
      <c r="HZ70" s="69">
        <f>$H$2*IB70</f>
        <v>1220</v>
      </c>
      <c r="IA70" s="82">
        <f>HY70*HZ70</f>
        <v>107372.20000000001</v>
      </c>
      <c r="IB70" s="26">
        <v>10</v>
      </c>
      <c r="IC70" s="7">
        <f>67.7*1.3</f>
        <v>88.01</v>
      </c>
      <c r="ID70" s="69">
        <f>$H$2*IF70</f>
        <v>1220</v>
      </c>
      <c r="IE70" s="82">
        <f>IC70*ID70</f>
        <v>107372.20000000001</v>
      </c>
      <c r="IF70" s="26">
        <v>10</v>
      </c>
      <c r="IG70" s="7">
        <f>67.7*1.3</f>
        <v>88.01</v>
      </c>
      <c r="IH70" s="69">
        <f>$H$2*IJ70</f>
        <v>1220</v>
      </c>
      <c r="II70" s="82">
        <f>IG70*IH70</f>
        <v>107372.20000000001</v>
      </c>
      <c r="IJ70" s="26">
        <v>10</v>
      </c>
      <c r="IK70" s="7">
        <f>67.7*1.3</f>
        <v>88.01</v>
      </c>
      <c r="IL70" s="69">
        <f>$H$2*IN70</f>
        <v>1220</v>
      </c>
      <c r="IM70" s="82">
        <f>IK70*IL70</f>
        <v>107372.20000000001</v>
      </c>
      <c r="IN70" s="26">
        <v>10</v>
      </c>
      <c r="IO70" s="7">
        <f>67.7*1.3</f>
        <v>88.01</v>
      </c>
      <c r="IP70" s="69">
        <f>$H$2*IR70</f>
        <v>1220</v>
      </c>
      <c r="IQ70" s="82">
        <f>IO70*IP70</f>
        <v>107372.20000000001</v>
      </c>
      <c r="IR70" s="26">
        <v>10</v>
      </c>
      <c r="IS70" s="7">
        <f>67.7*1.3</f>
        <v>88.01</v>
      </c>
      <c r="IT70" s="69">
        <f>$H$2*IV70</f>
        <v>1220</v>
      </c>
      <c r="IU70" s="82">
        <f>IS70*IT70</f>
        <v>107372.20000000001</v>
      </c>
      <c r="IV70" s="26">
        <v>10</v>
      </c>
    </row>
    <row r="71" spans="1:256" ht="12.75">
      <c r="A71" s="1091"/>
      <c r="B71" s="1091"/>
      <c r="C71" s="1091"/>
      <c r="D71" s="1091"/>
      <c r="E71" s="1092"/>
      <c r="F71" s="200"/>
      <c r="G71" s="171"/>
      <c r="H71" s="98"/>
      <c r="I71" s="26"/>
      <c r="L71" s="26"/>
      <c r="N71" s="89"/>
      <c r="O71" s="89"/>
      <c r="P71" s="26"/>
      <c r="T71" s="26"/>
      <c r="X71" s="26"/>
      <c r="Y71" s="27"/>
      <c r="Z71" s="40"/>
      <c r="AA71" s="188"/>
      <c r="AB71" s="26"/>
      <c r="AC71" s="27"/>
      <c r="AD71" s="40"/>
      <c r="AE71" s="188"/>
      <c r="AF71" s="26"/>
      <c r="AG71" s="27"/>
      <c r="AH71" s="40"/>
      <c r="AI71" s="188"/>
      <c r="AJ71" s="26"/>
      <c r="AK71" s="27"/>
      <c r="AL71" s="40"/>
      <c r="AM71" s="188"/>
      <c r="AN71" s="26"/>
      <c r="AO71" s="27"/>
      <c r="AP71" s="40"/>
      <c r="AQ71" s="188"/>
      <c r="AR71" s="26"/>
      <c r="AS71" s="27"/>
      <c r="AT71" s="40"/>
      <c r="AU71" s="188"/>
      <c r="AV71" s="26"/>
      <c r="AW71" s="27"/>
      <c r="AX71" s="40"/>
      <c r="AY71" s="188"/>
      <c r="AZ71" s="26"/>
      <c r="BA71" s="27"/>
      <c r="BB71" s="40"/>
      <c r="BC71" s="188"/>
      <c r="BD71" s="26"/>
      <c r="BE71" s="27"/>
      <c r="BF71" s="40"/>
      <c r="BG71" s="188"/>
      <c r="BH71" s="26"/>
      <c r="BI71" s="27"/>
      <c r="BJ71" s="40"/>
      <c r="BK71" s="188"/>
      <c r="BL71" s="26"/>
      <c r="BM71" s="27"/>
      <c r="BN71" s="40"/>
      <c r="BO71" s="188"/>
      <c r="BP71" s="26"/>
      <c r="BQ71" s="27"/>
      <c r="BR71" s="40"/>
      <c r="BS71" s="188"/>
      <c r="BT71" s="26"/>
      <c r="BU71" s="27"/>
      <c r="BV71" s="40"/>
      <c r="BW71" s="188"/>
      <c r="BX71" s="26"/>
      <c r="BY71" s="27"/>
      <c r="BZ71" s="40"/>
      <c r="CA71" s="188"/>
      <c r="CB71" s="26"/>
      <c r="CC71" s="27"/>
      <c r="CD71" s="40"/>
      <c r="CE71" s="188"/>
      <c r="CF71" s="26"/>
      <c r="CG71" s="27"/>
      <c r="CH71" s="40"/>
      <c r="CI71" s="188"/>
      <c r="CJ71" s="26"/>
      <c r="CK71" s="27"/>
      <c r="CL71" s="40"/>
      <c r="CM71" s="188"/>
      <c r="CN71" s="26"/>
      <c r="CO71" s="27"/>
      <c r="CP71" s="40"/>
      <c r="CQ71" s="188"/>
      <c r="CR71" s="26"/>
      <c r="CS71" s="27"/>
      <c r="CT71" s="40"/>
      <c r="CU71" s="188"/>
      <c r="CV71" s="26"/>
      <c r="CW71" s="27"/>
      <c r="CX71" s="40"/>
      <c r="CY71" s="188"/>
      <c r="CZ71" s="26"/>
      <c r="DA71" s="27"/>
      <c r="DB71" s="40"/>
      <c r="DC71" s="188"/>
      <c r="DD71" s="26"/>
      <c r="DE71" s="27"/>
      <c r="DF71" s="40"/>
      <c r="DG71" s="188"/>
      <c r="DH71" s="26"/>
      <c r="DI71" s="27"/>
      <c r="DJ71" s="40"/>
      <c r="DK71" s="188"/>
      <c r="DL71" s="26"/>
      <c r="DM71" s="27"/>
      <c r="DN71" s="40"/>
      <c r="DO71" s="188"/>
      <c r="DP71" s="26"/>
      <c r="DQ71" s="27"/>
      <c r="DR71" s="40"/>
      <c r="DS71" s="188"/>
      <c r="DT71" s="26"/>
      <c r="DU71" s="27"/>
      <c r="DV71" s="40"/>
      <c r="DW71" s="188"/>
      <c r="DX71" s="26"/>
      <c r="DY71" s="27"/>
      <c r="DZ71" s="40"/>
      <c r="EA71" s="188"/>
      <c r="EB71" s="26"/>
      <c r="EC71" s="27"/>
      <c r="ED71" s="40"/>
      <c r="EE71" s="188"/>
      <c r="EF71" s="26"/>
      <c r="EG71" s="27"/>
      <c r="EH71" s="40"/>
      <c r="EI71" s="188"/>
      <c r="EJ71" s="26"/>
      <c r="EK71" s="27"/>
      <c r="EL71" s="40"/>
      <c r="EM71" s="188"/>
      <c r="EN71" s="26"/>
      <c r="EO71" s="27"/>
      <c r="EP71" s="40"/>
      <c r="EQ71" s="188"/>
      <c r="ER71" s="26"/>
      <c r="ES71" s="27"/>
      <c r="ET71" s="40"/>
      <c r="EU71" s="188"/>
      <c r="EV71" s="26"/>
      <c r="EW71" s="27"/>
      <c r="EX71" s="40"/>
      <c r="EY71" s="188"/>
      <c r="EZ71" s="26"/>
      <c r="FA71" s="27"/>
      <c r="FB71" s="40"/>
      <c r="FC71" s="188"/>
      <c r="FD71" s="26"/>
      <c r="FE71" s="27"/>
      <c r="FF71" s="40"/>
      <c r="FG71" s="188"/>
      <c r="FH71" s="26"/>
      <c r="FI71" s="27"/>
      <c r="FJ71" s="40"/>
      <c r="FK71" s="188"/>
      <c r="FL71" s="26"/>
      <c r="FM71" s="27"/>
      <c r="FN71" s="40"/>
      <c r="FO71" s="188"/>
      <c r="FP71" s="26"/>
      <c r="FQ71" s="27"/>
      <c r="FR71" s="40"/>
      <c r="FS71" s="188"/>
      <c r="FT71" s="26"/>
      <c r="FU71" s="27"/>
      <c r="FV71" s="40"/>
      <c r="FW71" s="188"/>
      <c r="FX71" s="26"/>
      <c r="FY71" s="27"/>
      <c r="FZ71" s="40"/>
      <c r="GA71" s="188"/>
      <c r="GB71" s="26"/>
      <c r="GC71" s="27"/>
      <c r="GD71" s="40"/>
      <c r="GE71" s="188"/>
      <c r="GF71" s="26"/>
      <c r="GG71" s="27"/>
      <c r="GH71" s="40"/>
      <c r="GI71" s="188"/>
      <c r="GJ71" s="26"/>
      <c r="GK71" s="27"/>
      <c r="GL71" s="40"/>
      <c r="GM71" s="188"/>
      <c r="GN71" s="26"/>
      <c r="GO71" s="27"/>
      <c r="GP71" s="40"/>
      <c r="GQ71" s="188"/>
      <c r="GR71" s="26"/>
      <c r="GS71" s="27"/>
      <c r="GT71" s="40"/>
      <c r="GU71" s="188"/>
      <c r="GV71" s="26"/>
      <c r="GW71" s="27"/>
      <c r="GX71" s="40"/>
      <c r="GY71" s="188"/>
      <c r="GZ71" s="26"/>
      <c r="HA71" s="27"/>
      <c r="HB71" s="40"/>
      <c r="HC71" s="188"/>
      <c r="HD71" s="26"/>
      <c r="HE71" s="27"/>
      <c r="HF71" s="40"/>
      <c r="HG71" s="188"/>
      <c r="HH71" s="26"/>
      <c r="HI71" s="27"/>
      <c r="HJ71" s="40"/>
      <c r="HK71" s="188"/>
      <c r="HL71" s="26"/>
      <c r="HM71" s="27"/>
      <c r="HN71" s="40"/>
      <c r="HO71" s="188"/>
      <c r="HP71" s="26"/>
      <c r="HQ71" s="27"/>
      <c r="HR71" s="40"/>
      <c r="HS71" s="188"/>
      <c r="HT71" s="26"/>
      <c r="HU71" s="27"/>
      <c r="HV71" s="40"/>
      <c r="HW71" s="188"/>
      <c r="HX71" s="26"/>
      <c r="HY71" s="27"/>
      <c r="HZ71" s="40"/>
      <c r="IA71" s="188"/>
      <c r="IB71" s="26"/>
      <c r="IC71" s="27"/>
      <c r="ID71" s="40"/>
      <c r="IE71" s="188"/>
      <c r="IF71" s="26"/>
      <c r="IG71" s="27"/>
      <c r="IH71" s="40"/>
      <c r="II71" s="188"/>
      <c r="IJ71" s="26"/>
      <c r="IK71" s="27"/>
      <c r="IL71" s="40"/>
      <c r="IM71" s="188"/>
      <c r="IN71" s="26"/>
      <c r="IO71" s="27"/>
      <c r="IP71" s="40"/>
      <c r="IQ71" s="188"/>
      <c r="IR71" s="26"/>
      <c r="IS71" s="27"/>
      <c r="IT71" s="40"/>
      <c r="IU71" s="188"/>
      <c r="IV71" s="26"/>
    </row>
    <row r="72" spans="1:15" s="150" customFormat="1" ht="89.25">
      <c r="A72" s="1093">
        <v>3.02</v>
      </c>
      <c r="B72" s="1086" t="s">
        <v>291</v>
      </c>
      <c r="C72" s="1087"/>
      <c r="D72" s="1090"/>
      <c r="E72" s="1090"/>
      <c r="F72" s="82"/>
      <c r="G72" s="171"/>
      <c r="H72" s="178"/>
      <c r="I72" s="149"/>
      <c r="N72" s="89"/>
      <c r="O72" s="89"/>
    </row>
    <row r="73" spans="1:15" s="150" customFormat="1" ht="12.75">
      <c r="A73" s="1093"/>
      <c r="B73" s="1086" t="s">
        <v>317</v>
      </c>
      <c r="C73" s="1089"/>
      <c r="D73" s="1089"/>
      <c r="E73" s="1089"/>
      <c r="H73" s="178"/>
      <c r="I73" s="149"/>
      <c r="N73" s="89"/>
      <c r="O73" s="89"/>
    </row>
    <row r="74" spans="1:15" s="150" customFormat="1" ht="229.5">
      <c r="A74" s="1093"/>
      <c r="B74" s="1086" t="s">
        <v>290</v>
      </c>
      <c r="C74" s="1087" t="s">
        <v>57</v>
      </c>
      <c r="D74" s="1090">
        <f>(10.7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f>
        <v>132.21962499999998</v>
      </c>
      <c r="E74" s="1090"/>
      <c r="F74" s="82">
        <f>D74*E74</f>
        <v>0</v>
      </c>
      <c r="G74" s="171">
        <v>100</v>
      </c>
      <c r="H74" s="178"/>
      <c r="I74" s="149"/>
      <c r="N74" s="89">
        <f>E74*1.2</f>
        <v>0</v>
      </c>
      <c r="O74" s="89">
        <f>N74*D74</f>
        <v>0</v>
      </c>
    </row>
    <row r="75" spans="1:15" ht="114.75">
      <c r="A75" s="1062">
        <v>3.03</v>
      </c>
      <c r="B75" s="166" t="s">
        <v>249</v>
      </c>
      <c r="C75" s="1057"/>
      <c r="D75" s="1059"/>
      <c r="E75" s="1059"/>
      <c r="F75" s="7"/>
      <c r="G75" s="171"/>
      <c r="H75" s="97"/>
      <c r="I75" s="39"/>
      <c r="N75" s="89"/>
      <c r="O75" s="89"/>
    </row>
    <row r="76" spans="1:256" ht="12.75">
      <c r="A76" s="1091"/>
      <c r="B76" s="1094" t="s">
        <v>67</v>
      </c>
      <c r="C76" s="1058" t="s">
        <v>45</v>
      </c>
      <c r="D76" s="1058">
        <f>3.58*3.05+1*3.05+4.28*3.05</f>
        <v>27.022999999999996</v>
      </c>
      <c r="E76" s="1048"/>
      <c r="F76" s="38"/>
      <c r="H76" s="98"/>
      <c r="I76" s="26"/>
      <c r="L76" s="26"/>
      <c r="N76" s="89"/>
      <c r="O76" s="89"/>
      <c r="P76" s="26"/>
      <c r="T76" s="26"/>
      <c r="X76" s="26"/>
      <c r="Y76" s="27"/>
      <c r="Z76" s="40"/>
      <c r="AA76" s="188"/>
      <c r="AB76" s="26"/>
      <c r="AC76" s="27"/>
      <c r="AD76" s="40"/>
      <c r="AE76" s="188"/>
      <c r="AF76" s="26"/>
      <c r="AG76" s="27"/>
      <c r="AH76" s="40"/>
      <c r="AI76" s="188"/>
      <c r="AJ76" s="26"/>
      <c r="AK76" s="27"/>
      <c r="AL76" s="40"/>
      <c r="AM76" s="188"/>
      <c r="AN76" s="26"/>
      <c r="AO76" s="27"/>
      <c r="AP76" s="40"/>
      <c r="AQ76" s="188"/>
      <c r="AR76" s="26"/>
      <c r="AS76" s="27"/>
      <c r="AT76" s="40"/>
      <c r="AU76" s="188"/>
      <c r="AV76" s="26"/>
      <c r="AW76" s="27"/>
      <c r="AX76" s="40"/>
      <c r="AY76" s="188"/>
      <c r="AZ76" s="26"/>
      <c r="BA76" s="27"/>
      <c r="BB76" s="40"/>
      <c r="BC76" s="188"/>
      <c r="BD76" s="26"/>
      <c r="BE76" s="27"/>
      <c r="BF76" s="40"/>
      <c r="BG76" s="188"/>
      <c r="BH76" s="26"/>
      <c r="BI76" s="27"/>
      <c r="BJ76" s="40"/>
      <c r="BK76" s="188"/>
      <c r="BL76" s="26"/>
      <c r="BM76" s="27"/>
      <c r="BN76" s="40"/>
      <c r="BO76" s="188"/>
      <c r="BP76" s="26"/>
      <c r="BQ76" s="27"/>
      <c r="BR76" s="40"/>
      <c r="BS76" s="188"/>
      <c r="BT76" s="26"/>
      <c r="BU76" s="27"/>
      <c r="BV76" s="40"/>
      <c r="BW76" s="188"/>
      <c r="BX76" s="26"/>
      <c r="BY76" s="27"/>
      <c r="BZ76" s="40"/>
      <c r="CA76" s="188"/>
      <c r="CB76" s="26"/>
      <c r="CC76" s="27"/>
      <c r="CD76" s="40"/>
      <c r="CE76" s="188"/>
      <c r="CF76" s="26"/>
      <c r="CG76" s="27"/>
      <c r="CH76" s="40"/>
      <c r="CI76" s="188"/>
      <c r="CJ76" s="26"/>
      <c r="CK76" s="27"/>
      <c r="CL76" s="40"/>
      <c r="CM76" s="188"/>
      <c r="CN76" s="26"/>
      <c r="CO76" s="27"/>
      <c r="CP76" s="40"/>
      <c r="CQ76" s="188"/>
      <c r="CR76" s="26"/>
      <c r="CS76" s="27"/>
      <c r="CT76" s="40"/>
      <c r="CU76" s="188"/>
      <c r="CV76" s="26"/>
      <c r="CW76" s="27"/>
      <c r="CX76" s="40"/>
      <c r="CY76" s="188"/>
      <c r="CZ76" s="26"/>
      <c r="DA76" s="27"/>
      <c r="DB76" s="40"/>
      <c r="DC76" s="188"/>
      <c r="DD76" s="26"/>
      <c r="DE76" s="27"/>
      <c r="DF76" s="40"/>
      <c r="DG76" s="188"/>
      <c r="DH76" s="26"/>
      <c r="DI76" s="27"/>
      <c r="DJ76" s="40"/>
      <c r="DK76" s="188"/>
      <c r="DL76" s="26"/>
      <c r="DM76" s="27"/>
      <c r="DN76" s="40"/>
      <c r="DO76" s="188"/>
      <c r="DP76" s="26"/>
      <c r="DQ76" s="27"/>
      <c r="DR76" s="40"/>
      <c r="DS76" s="188"/>
      <c r="DT76" s="26"/>
      <c r="DU76" s="27"/>
      <c r="DV76" s="40"/>
      <c r="DW76" s="188"/>
      <c r="DX76" s="26"/>
      <c r="DY76" s="27"/>
      <c r="DZ76" s="40"/>
      <c r="EA76" s="188"/>
      <c r="EB76" s="26"/>
      <c r="EC76" s="27"/>
      <c r="ED76" s="40"/>
      <c r="EE76" s="188"/>
      <c r="EF76" s="26"/>
      <c r="EG76" s="27"/>
      <c r="EH76" s="40"/>
      <c r="EI76" s="188"/>
      <c r="EJ76" s="26"/>
      <c r="EK76" s="27"/>
      <c r="EL76" s="40"/>
      <c r="EM76" s="188"/>
      <c r="EN76" s="26"/>
      <c r="EO76" s="27"/>
      <c r="EP76" s="40"/>
      <c r="EQ76" s="188"/>
      <c r="ER76" s="26"/>
      <c r="ES76" s="27"/>
      <c r="ET76" s="40"/>
      <c r="EU76" s="188"/>
      <c r="EV76" s="26"/>
      <c r="EW76" s="27"/>
      <c r="EX76" s="40"/>
      <c r="EY76" s="188"/>
      <c r="EZ76" s="26"/>
      <c r="FA76" s="27"/>
      <c r="FB76" s="40"/>
      <c r="FC76" s="188"/>
      <c r="FD76" s="26"/>
      <c r="FE76" s="27"/>
      <c r="FF76" s="40"/>
      <c r="FG76" s="188"/>
      <c r="FH76" s="26"/>
      <c r="FI76" s="27"/>
      <c r="FJ76" s="40"/>
      <c r="FK76" s="188"/>
      <c r="FL76" s="26"/>
      <c r="FM76" s="27"/>
      <c r="FN76" s="40"/>
      <c r="FO76" s="188"/>
      <c r="FP76" s="26"/>
      <c r="FQ76" s="27"/>
      <c r="FR76" s="40"/>
      <c r="FS76" s="188"/>
      <c r="FT76" s="26"/>
      <c r="FU76" s="27"/>
      <c r="FV76" s="40"/>
      <c r="FW76" s="188"/>
      <c r="FX76" s="26"/>
      <c r="FY76" s="27"/>
      <c r="FZ76" s="40"/>
      <c r="GA76" s="188"/>
      <c r="GB76" s="26"/>
      <c r="GC76" s="27"/>
      <c r="GD76" s="40"/>
      <c r="GE76" s="188"/>
      <c r="GF76" s="26"/>
      <c r="GG76" s="27"/>
      <c r="GH76" s="40"/>
      <c r="GI76" s="188"/>
      <c r="GJ76" s="26"/>
      <c r="GK76" s="27"/>
      <c r="GL76" s="40"/>
      <c r="GM76" s="188"/>
      <c r="GN76" s="26"/>
      <c r="GO76" s="27"/>
      <c r="GP76" s="40"/>
      <c r="GQ76" s="188"/>
      <c r="GR76" s="26"/>
      <c r="GS76" s="27"/>
      <c r="GT76" s="40"/>
      <c r="GU76" s="188"/>
      <c r="GV76" s="26"/>
      <c r="GW76" s="27"/>
      <c r="GX76" s="40"/>
      <c r="GY76" s="188"/>
      <c r="GZ76" s="26"/>
      <c r="HA76" s="27"/>
      <c r="HB76" s="40"/>
      <c r="HC76" s="188"/>
      <c r="HD76" s="26"/>
      <c r="HE76" s="27"/>
      <c r="HF76" s="40"/>
      <c r="HG76" s="188"/>
      <c r="HH76" s="26"/>
      <c r="HI76" s="27"/>
      <c r="HJ76" s="40"/>
      <c r="HK76" s="188"/>
      <c r="HL76" s="26"/>
      <c r="HM76" s="27"/>
      <c r="HN76" s="40"/>
      <c r="HO76" s="188"/>
      <c r="HP76" s="26"/>
      <c r="HQ76" s="27"/>
      <c r="HR76" s="40"/>
      <c r="HS76" s="188"/>
      <c r="HT76" s="26"/>
      <c r="HU76" s="27"/>
      <c r="HV76" s="40"/>
      <c r="HW76" s="188"/>
      <c r="HX76" s="26"/>
      <c r="HY76" s="27"/>
      <c r="HZ76" s="40"/>
      <c r="IA76" s="188"/>
      <c r="IB76" s="26"/>
      <c r="IC76" s="27"/>
      <c r="ID76" s="40"/>
      <c r="IE76" s="188"/>
      <c r="IF76" s="26"/>
      <c r="IG76" s="27"/>
      <c r="IH76" s="40"/>
      <c r="II76" s="188"/>
      <c r="IJ76" s="26"/>
      <c r="IK76" s="27"/>
      <c r="IL76" s="40"/>
      <c r="IM76" s="188"/>
      <c r="IN76" s="26"/>
      <c r="IO76" s="27"/>
      <c r="IP76" s="40"/>
      <c r="IQ76" s="188"/>
      <c r="IR76" s="26"/>
      <c r="IS76" s="27"/>
      <c r="IT76" s="40"/>
      <c r="IU76" s="188"/>
      <c r="IV76" s="26"/>
    </row>
    <row r="77" spans="1:256" ht="12.75">
      <c r="A77" s="1091"/>
      <c r="B77" s="1094" t="s">
        <v>172</v>
      </c>
      <c r="C77" s="1091" t="s">
        <v>45</v>
      </c>
      <c r="D77" s="1058">
        <f>1*2.9+1.2*2.9+1.1*2.9</f>
        <v>9.57</v>
      </c>
      <c r="E77" s="1092"/>
      <c r="F77" s="82"/>
      <c r="G77" s="171"/>
      <c r="H77" s="98"/>
      <c r="I77" s="26"/>
      <c r="L77" s="26"/>
      <c r="N77" s="89"/>
      <c r="O77" s="89"/>
      <c r="P77" s="26"/>
      <c r="T77" s="26"/>
      <c r="X77" s="26"/>
      <c r="Y77" s="27"/>
      <c r="Z77" s="40"/>
      <c r="AA77" s="188"/>
      <c r="AB77" s="26"/>
      <c r="AC77" s="27"/>
      <c r="AD77" s="40"/>
      <c r="AE77" s="188"/>
      <c r="AF77" s="26"/>
      <c r="AG77" s="27"/>
      <c r="AH77" s="40"/>
      <c r="AI77" s="188"/>
      <c r="AJ77" s="26"/>
      <c r="AK77" s="27"/>
      <c r="AL77" s="40"/>
      <c r="AM77" s="188"/>
      <c r="AN77" s="26"/>
      <c r="AO77" s="27"/>
      <c r="AP77" s="40"/>
      <c r="AQ77" s="188"/>
      <c r="AR77" s="26"/>
      <c r="AS77" s="27"/>
      <c r="AT77" s="40"/>
      <c r="AU77" s="188"/>
      <c r="AV77" s="26"/>
      <c r="AW77" s="27"/>
      <c r="AX77" s="40"/>
      <c r="AY77" s="188"/>
      <c r="AZ77" s="26"/>
      <c r="BA77" s="27"/>
      <c r="BB77" s="40"/>
      <c r="BC77" s="188"/>
      <c r="BD77" s="26"/>
      <c r="BE77" s="27"/>
      <c r="BF77" s="40"/>
      <c r="BG77" s="188"/>
      <c r="BH77" s="26"/>
      <c r="BI77" s="27"/>
      <c r="BJ77" s="40"/>
      <c r="BK77" s="188"/>
      <c r="BL77" s="26"/>
      <c r="BM77" s="27"/>
      <c r="BN77" s="40"/>
      <c r="BO77" s="188"/>
      <c r="BP77" s="26"/>
      <c r="BQ77" s="27"/>
      <c r="BR77" s="40"/>
      <c r="BS77" s="188"/>
      <c r="BT77" s="26"/>
      <c r="BU77" s="27"/>
      <c r="BV77" s="40"/>
      <c r="BW77" s="188"/>
      <c r="BX77" s="26"/>
      <c r="BY77" s="27"/>
      <c r="BZ77" s="40"/>
      <c r="CA77" s="188"/>
      <c r="CB77" s="26"/>
      <c r="CC77" s="27"/>
      <c r="CD77" s="40"/>
      <c r="CE77" s="188"/>
      <c r="CF77" s="26"/>
      <c r="CG77" s="27"/>
      <c r="CH77" s="40"/>
      <c r="CI77" s="188"/>
      <c r="CJ77" s="26"/>
      <c r="CK77" s="27"/>
      <c r="CL77" s="40"/>
      <c r="CM77" s="188"/>
      <c r="CN77" s="26"/>
      <c r="CO77" s="27"/>
      <c r="CP77" s="40"/>
      <c r="CQ77" s="188"/>
      <c r="CR77" s="26"/>
      <c r="CS77" s="27"/>
      <c r="CT77" s="40"/>
      <c r="CU77" s="188"/>
      <c r="CV77" s="26"/>
      <c r="CW77" s="27"/>
      <c r="CX77" s="40"/>
      <c r="CY77" s="188"/>
      <c r="CZ77" s="26"/>
      <c r="DA77" s="27"/>
      <c r="DB77" s="40"/>
      <c r="DC77" s="188"/>
      <c r="DD77" s="26"/>
      <c r="DE77" s="27"/>
      <c r="DF77" s="40"/>
      <c r="DG77" s="188"/>
      <c r="DH77" s="26"/>
      <c r="DI77" s="27"/>
      <c r="DJ77" s="40"/>
      <c r="DK77" s="188"/>
      <c r="DL77" s="26"/>
      <c r="DM77" s="27"/>
      <c r="DN77" s="40"/>
      <c r="DO77" s="188"/>
      <c r="DP77" s="26"/>
      <c r="DQ77" s="27"/>
      <c r="DR77" s="40"/>
      <c r="DS77" s="188"/>
      <c r="DT77" s="26"/>
      <c r="DU77" s="27"/>
      <c r="DV77" s="40"/>
      <c r="DW77" s="188"/>
      <c r="DX77" s="26"/>
      <c r="DY77" s="27"/>
      <c r="DZ77" s="40"/>
      <c r="EA77" s="188"/>
      <c r="EB77" s="26"/>
      <c r="EC77" s="27"/>
      <c r="ED77" s="40"/>
      <c r="EE77" s="188"/>
      <c r="EF77" s="26"/>
      <c r="EG77" s="27"/>
      <c r="EH77" s="40"/>
      <c r="EI77" s="188"/>
      <c r="EJ77" s="26"/>
      <c r="EK77" s="27"/>
      <c r="EL77" s="40"/>
      <c r="EM77" s="188"/>
      <c r="EN77" s="26"/>
      <c r="EO77" s="27"/>
      <c r="EP77" s="40"/>
      <c r="EQ77" s="188"/>
      <c r="ER77" s="26"/>
      <c r="ES77" s="27"/>
      <c r="ET77" s="40"/>
      <c r="EU77" s="188"/>
      <c r="EV77" s="26"/>
      <c r="EW77" s="27"/>
      <c r="EX77" s="40"/>
      <c r="EY77" s="188"/>
      <c r="EZ77" s="26"/>
      <c r="FA77" s="27"/>
      <c r="FB77" s="40"/>
      <c r="FC77" s="188"/>
      <c r="FD77" s="26"/>
      <c r="FE77" s="27"/>
      <c r="FF77" s="40"/>
      <c r="FG77" s="188"/>
      <c r="FH77" s="26"/>
      <c r="FI77" s="27"/>
      <c r="FJ77" s="40"/>
      <c r="FK77" s="188"/>
      <c r="FL77" s="26"/>
      <c r="FM77" s="27"/>
      <c r="FN77" s="40"/>
      <c r="FO77" s="188"/>
      <c r="FP77" s="26"/>
      <c r="FQ77" s="27"/>
      <c r="FR77" s="40"/>
      <c r="FS77" s="188"/>
      <c r="FT77" s="26"/>
      <c r="FU77" s="27"/>
      <c r="FV77" s="40"/>
      <c r="FW77" s="188"/>
      <c r="FX77" s="26"/>
      <c r="FY77" s="27"/>
      <c r="FZ77" s="40"/>
      <c r="GA77" s="188"/>
      <c r="GB77" s="26"/>
      <c r="GC77" s="27"/>
      <c r="GD77" s="40"/>
      <c r="GE77" s="188"/>
      <c r="GF77" s="26"/>
      <c r="GG77" s="27"/>
      <c r="GH77" s="40"/>
      <c r="GI77" s="188"/>
      <c r="GJ77" s="26"/>
      <c r="GK77" s="27"/>
      <c r="GL77" s="40"/>
      <c r="GM77" s="188"/>
      <c r="GN77" s="26"/>
      <c r="GO77" s="27"/>
      <c r="GP77" s="40"/>
      <c r="GQ77" s="188"/>
      <c r="GR77" s="26"/>
      <c r="GS77" s="27"/>
      <c r="GT77" s="40"/>
      <c r="GU77" s="188"/>
      <c r="GV77" s="26"/>
      <c r="GW77" s="27"/>
      <c r="GX77" s="40"/>
      <c r="GY77" s="188"/>
      <c r="GZ77" s="26"/>
      <c r="HA77" s="27"/>
      <c r="HB77" s="40"/>
      <c r="HC77" s="188"/>
      <c r="HD77" s="26"/>
      <c r="HE77" s="27"/>
      <c r="HF77" s="40"/>
      <c r="HG77" s="188"/>
      <c r="HH77" s="26"/>
      <c r="HI77" s="27"/>
      <c r="HJ77" s="40"/>
      <c r="HK77" s="188"/>
      <c r="HL77" s="26"/>
      <c r="HM77" s="27"/>
      <c r="HN77" s="40"/>
      <c r="HO77" s="188"/>
      <c r="HP77" s="26"/>
      <c r="HQ77" s="27"/>
      <c r="HR77" s="40"/>
      <c r="HS77" s="188"/>
      <c r="HT77" s="26"/>
      <c r="HU77" s="27"/>
      <c r="HV77" s="40"/>
      <c r="HW77" s="188"/>
      <c r="HX77" s="26"/>
      <c r="HY77" s="27"/>
      <c r="HZ77" s="40"/>
      <c r="IA77" s="188"/>
      <c r="IB77" s="26"/>
      <c r="IC77" s="27"/>
      <c r="ID77" s="40"/>
      <c r="IE77" s="188"/>
      <c r="IF77" s="26"/>
      <c r="IG77" s="27"/>
      <c r="IH77" s="40"/>
      <c r="II77" s="188"/>
      <c r="IJ77" s="26"/>
      <c r="IK77" s="27"/>
      <c r="IL77" s="40"/>
      <c r="IM77" s="188"/>
      <c r="IN77" s="26"/>
      <c r="IO77" s="27"/>
      <c r="IP77" s="40"/>
      <c r="IQ77" s="188"/>
      <c r="IR77" s="26"/>
      <c r="IS77" s="27"/>
      <c r="IT77" s="40"/>
      <c r="IU77" s="188"/>
      <c r="IV77" s="26"/>
    </row>
    <row r="78" spans="1:256" ht="12.75">
      <c r="A78" s="1091"/>
      <c r="B78" s="1094" t="s">
        <v>173</v>
      </c>
      <c r="C78" s="1091" t="s">
        <v>45</v>
      </c>
      <c r="D78" s="1058">
        <f>1*3.2+1.2*3.2+1.9*3.2</f>
        <v>13.120000000000001</v>
      </c>
      <c r="E78" s="1092"/>
      <c r="F78" s="82"/>
      <c r="G78" s="171"/>
      <c r="H78" s="98"/>
      <c r="I78" s="26"/>
      <c r="L78" s="26"/>
      <c r="N78" s="89"/>
      <c r="O78" s="89"/>
      <c r="P78" s="26"/>
      <c r="T78" s="26"/>
      <c r="X78" s="26"/>
      <c r="Y78" s="27"/>
      <c r="Z78" s="40"/>
      <c r="AA78" s="188"/>
      <c r="AB78" s="26"/>
      <c r="AC78" s="27"/>
      <c r="AD78" s="40"/>
      <c r="AE78" s="188"/>
      <c r="AF78" s="26"/>
      <c r="AG78" s="27"/>
      <c r="AH78" s="40"/>
      <c r="AI78" s="188"/>
      <c r="AJ78" s="26"/>
      <c r="AK78" s="27"/>
      <c r="AL78" s="40"/>
      <c r="AM78" s="188"/>
      <c r="AN78" s="26"/>
      <c r="AO78" s="27"/>
      <c r="AP78" s="40"/>
      <c r="AQ78" s="188"/>
      <c r="AR78" s="26"/>
      <c r="AS78" s="27"/>
      <c r="AT78" s="40"/>
      <c r="AU78" s="188"/>
      <c r="AV78" s="26"/>
      <c r="AW78" s="27"/>
      <c r="AX78" s="40"/>
      <c r="AY78" s="188"/>
      <c r="AZ78" s="26"/>
      <c r="BA78" s="27"/>
      <c r="BB78" s="40"/>
      <c r="BC78" s="188"/>
      <c r="BD78" s="26"/>
      <c r="BE78" s="27"/>
      <c r="BF78" s="40"/>
      <c r="BG78" s="188"/>
      <c r="BH78" s="26"/>
      <c r="BI78" s="27"/>
      <c r="BJ78" s="40"/>
      <c r="BK78" s="188"/>
      <c r="BL78" s="26"/>
      <c r="BM78" s="27"/>
      <c r="BN78" s="40"/>
      <c r="BO78" s="188"/>
      <c r="BP78" s="26"/>
      <c r="BQ78" s="27"/>
      <c r="BR78" s="40"/>
      <c r="BS78" s="188"/>
      <c r="BT78" s="26"/>
      <c r="BU78" s="27"/>
      <c r="BV78" s="40"/>
      <c r="BW78" s="188"/>
      <c r="BX78" s="26"/>
      <c r="BY78" s="27"/>
      <c r="BZ78" s="40"/>
      <c r="CA78" s="188"/>
      <c r="CB78" s="26"/>
      <c r="CC78" s="27"/>
      <c r="CD78" s="40"/>
      <c r="CE78" s="188"/>
      <c r="CF78" s="26"/>
      <c r="CG78" s="27"/>
      <c r="CH78" s="40"/>
      <c r="CI78" s="188"/>
      <c r="CJ78" s="26"/>
      <c r="CK78" s="27"/>
      <c r="CL78" s="40"/>
      <c r="CM78" s="188"/>
      <c r="CN78" s="26"/>
      <c r="CO78" s="27"/>
      <c r="CP78" s="40"/>
      <c r="CQ78" s="188"/>
      <c r="CR78" s="26"/>
      <c r="CS78" s="27"/>
      <c r="CT78" s="40"/>
      <c r="CU78" s="188"/>
      <c r="CV78" s="26"/>
      <c r="CW78" s="27"/>
      <c r="CX78" s="40"/>
      <c r="CY78" s="188"/>
      <c r="CZ78" s="26"/>
      <c r="DA78" s="27"/>
      <c r="DB78" s="40"/>
      <c r="DC78" s="188"/>
      <c r="DD78" s="26"/>
      <c r="DE78" s="27"/>
      <c r="DF78" s="40"/>
      <c r="DG78" s="188"/>
      <c r="DH78" s="26"/>
      <c r="DI78" s="27"/>
      <c r="DJ78" s="40"/>
      <c r="DK78" s="188"/>
      <c r="DL78" s="26"/>
      <c r="DM78" s="27"/>
      <c r="DN78" s="40"/>
      <c r="DO78" s="188"/>
      <c r="DP78" s="26"/>
      <c r="DQ78" s="27"/>
      <c r="DR78" s="40"/>
      <c r="DS78" s="188"/>
      <c r="DT78" s="26"/>
      <c r="DU78" s="27"/>
      <c r="DV78" s="40"/>
      <c r="DW78" s="188"/>
      <c r="DX78" s="26"/>
      <c r="DY78" s="27"/>
      <c r="DZ78" s="40"/>
      <c r="EA78" s="188"/>
      <c r="EB78" s="26"/>
      <c r="EC78" s="27"/>
      <c r="ED78" s="40"/>
      <c r="EE78" s="188"/>
      <c r="EF78" s="26"/>
      <c r="EG78" s="27"/>
      <c r="EH78" s="40"/>
      <c r="EI78" s="188"/>
      <c r="EJ78" s="26"/>
      <c r="EK78" s="27"/>
      <c r="EL78" s="40"/>
      <c r="EM78" s="188"/>
      <c r="EN78" s="26"/>
      <c r="EO78" s="27"/>
      <c r="EP78" s="40"/>
      <c r="EQ78" s="188"/>
      <c r="ER78" s="26"/>
      <c r="ES78" s="27"/>
      <c r="ET78" s="40"/>
      <c r="EU78" s="188"/>
      <c r="EV78" s="26"/>
      <c r="EW78" s="27"/>
      <c r="EX78" s="40"/>
      <c r="EY78" s="188"/>
      <c r="EZ78" s="26"/>
      <c r="FA78" s="27"/>
      <c r="FB78" s="40"/>
      <c r="FC78" s="188"/>
      <c r="FD78" s="26"/>
      <c r="FE78" s="27"/>
      <c r="FF78" s="40"/>
      <c r="FG78" s="188"/>
      <c r="FH78" s="26"/>
      <c r="FI78" s="27"/>
      <c r="FJ78" s="40"/>
      <c r="FK78" s="188"/>
      <c r="FL78" s="26"/>
      <c r="FM78" s="27"/>
      <c r="FN78" s="40"/>
      <c r="FO78" s="188"/>
      <c r="FP78" s="26"/>
      <c r="FQ78" s="27"/>
      <c r="FR78" s="40"/>
      <c r="FS78" s="188"/>
      <c r="FT78" s="26"/>
      <c r="FU78" s="27"/>
      <c r="FV78" s="40"/>
      <c r="FW78" s="188"/>
      <c r="FX78" s="26"/>
      <c r="FY78" s="27"/>
      <c r="FZ78" s="40"/>
      <c r="GA78" s="188"/>
      <c r="GB78" s="26"/>
      <c r="GC78" s="27"/>
      <c r="GD78" s="40"/>
      <c r="GE78" s="188"/>
      <c r="GF78" s="26"/>
      <c r="GG78" s="27"/>
      <c r="GH78" s="40"/>
      <c r="GI78" s="188"/>
      <c r="GJ78" s="26"/>
      <c r="GK78" s="27"/>
      <c r="GL78" s="40"/>
      <c r="GM78" s="188"/>
      <c r="GN78" s="26"/>
      <c r="GO78" s="27"/>
      <c r="GP78" s="40"/>
      <c r="GQ78" s="188"/>
      <c r="GR78" s="26"/>
      <c r="GS78" s="27"/>
      <c r="GT78" s="40"/>
      <c r="GU78" s="188"/>
      <c r="GV78" s="26"/>
      <c r="GW78" s="27"/>
      <c r="GX78" s="40"/>
      <c r="GY78" s="188"/>
      <c r="GZ78" s="26"/>
      <c r="HA78" s="27"/>
      <c r="HB78" s="40"/>
      <c r="HC78" s="188"/>
      <c r="HD78" s="26"/>
      <c r="HE78" s="27"/>
      <c r="HF78" s="40"/>
      <c r="HG78" s="188"/>
      <c r="HH78" s="26"/>
      <c r="HI78" s="27"/>
      <c r="HJ78" s="40"/>
      <c r="HK78" s="188"/>
      <c r="HL78" s="26"/>
      <c r="HM78" s="27"/>
      <c r="HN78" s="40"/>
      <c r="HO78" s="188"/>
      <c r="HP78" s="26"/>
      <c r="HQ78" s="27"/>
      <c r="HR78" s="40"/>
      <c r="HS78" s="188"/>
      <c r="HT78" s="26"/>
      <c r="HU78" s="27"/>
      <c r="HV78" s="40"/>
      <c r="HW78" s="188"/>
      <c r="HX78" s="26"/>
      <c r="HY78" s="27"/>
      <c r="HZ78" s="40"/>
      <c r="IA78" s="188"/>
      <c r="IB78" s="26"/>
      <c r="IC78" s="27"/>
      <c r="ID78" s="40"/>
      <c r="IE78" s="188"/>
      <c r="IF78" s="26"/>
      <c r="IG78" s="27"/>
      <c r="IH78" s="40"/>
      <c r="II78" s="188"/>
      <c r="IJ78" s="26"/>
      <c r="IK78" s="27"/>
      <c r="IL78" s="40"/>
      <c r="IM78" s="188"/>
      <c r="IN78" s="26"/>
      <c r="IO78" s="27"/>
      <c r="IP78" s="40"/>
      <c r="IQ78" s="188"/>
      <c r="IR78" s="26"/>
      <c r="IS78" s="27"/>
      <c r="IT78" s="40"/>
      <c r="IU78" s="188"/>
      <c r="IV78" s="26"/>
    </row>
    <row r="79" spans="1:256" ht="12.75">
      <c r="A79" s="1091"/>
      <c r="B79" s="1091" t="s">
        <v>53</v>
      </c>
      <c r="C79" s="1091" t="s">
        <v>45</v>
      </c>
      <c r="D79" s="1058">
        <f>D76+D77+D78</f>
        <v>49.712999999999994</v>
      </c>
      <c r="E79" s="1059"/>
      <c r="F79" s="82">
        <f>D79*E79</f>
        <v>0</v>
      </c>
      <c r="G79" s="171">
        <v>6</v>
      </c>
      <c r="H79" s="98"/>
      <c r="I79" s="26"/>
      <c r="L79" s="26"/>
      <c r="N79" s="89">
        <f>E79*1.2</f>
        <v>0</v>
      </c>
      <c r="O79" s="89">
        <f>N79*D79</f>
        <v>0</v>
      </c>
      <c r="P79" s="26"/>
      <c r="T79" s="26"/>
      <c r="X79" s="26"/>
      <c r="Y79" s="27"/>
      <c r="Z79" s="40"/>
      <c r="AA79" s="188"/>
      <c r="AB79" s="26"/>
      <c r="AC79" s="27"/>
      <c r="AD79" s="40"/>
      <c r="AE79" s="188"/>
      <c r="AF79" s="26"/>
      <c r="AG79" s="27"/>
      <c r="AH79" s="40"/>
      <c r="AI79" s="188"/>
      <c r="AJ79" s="26"/>
      <c r="AK79" s="27"/>
      <c r="AL79" s="40"/>
      <c r="AM79" s="188"/>
      <c r="AN79" s="26"/>
      <c r="AO79" s="27"/>
      <c r="AP79" s="40"/>
      <c r="AQ79" s="188"/>
      <c r="AR79" s="26"/>
      <c r="AS79" s="27"/>
      <c r="AT79" s="40"/>
      <c r="AU79" s="188"/>
      <c r="AV79" s="26"/>
      <c r="AW79" s="27"/>
      <c r="AX79" s="40"/>
      <c r="AY79" s="188"/>
      <c r="AZ79" s="26"/>
      <c r="BA79" s="27"/>
      <c r="BB79" s="40"/>
      <c r="BC79" s="188"/>
      <c r="BD79" s="26"/>
      <c r="BE79" s="27"/>
      <c r="BF79" s="40"/>
      <c r="BG79" s="188"/>
      <c r="BH79" s="26"/>
      <c r="BI79" s="27"/>
      <c r="BJ79" s="40"/>
      <c r="BK79" s="188"/>
      <c r="BL79" s="26"/>
      <c r="BM79" s="27"/>
      <c r="BN79" s="40"/>
      <c r="BO79" s="188"/>
      <c r="BP79" s="26"/>
      <c r="BQ79" s="27"/>
      <c r="BR79" s="40"/>
      <c r="BS79" s="188"/>
      <c r="BT79" s="26"/>
      <c r="BU79" s="27"/>
      <c r="BV79" s="40"/>
      <c r="BW79" s="188"/>
      <c r="BX79" s="26"/>
      <c r="BY79" s="27"/>
      <c r="BZ79" s="40"/>
      <c r="CA79" s="188"/>
      <c r="CB79" s="26"/>
      <c r="CC79" s="27"/>
      <c r="CD79" s="40"/>
      <c r="CE79" s="188"/>
      <c r="CF79" s="26"/>
      <c r="CG79" s="27"/>
      <c r="CH79" s="40"/>
      <c r="CI79" s="188"/>
      <c r="CJ79" s="26"/>
      <c r="CK79" s="27"/>
      <c r="CL79" s="40"/>
      <c r="CM79" s="188"/>
      <c r="CN79" s="26"/>
      <c r="CO79" s="27"/>
      <c r="CP79" s="40"/>
      <c r="CQ79" s="188"/>
      <c r="CR79" s="26"/>
      <c r="CS79" s="27"/>
      <c r="CT79" s="40"/>
      <c r="CU79" s="188"/>
      <c r="CV79" s="26"/>
      <c r="CW79" s="27"/>
      <c r="CX79" s="40"/>
      <c r="CY79" s="188"/>
      <c r="CZ79" s="26"/>
      <c r="DA79" s="27"/>
      <c r="DB79" s="40"/>
      <c r="DC79" s="188"/>
      <c r="DD79" s="26"/>
      <c r="DE79" s="27"/>
      <c r="DF79" s="40"/>
      <c r="DG79" s="188"/>
      <c r="DH79" s="26"/>
      <c r="DI79" s="27"/>
      <c r="DJ79" s="40"/>
      <c r="DK79" s="188"/>
      <c r="DL79" s="26"/>
      <c r="DM79" s="27"/>
      <c r="DN79" s="40"/>
      <c r="DO79" s="188"/>
      <c r="DP79" s="26"/>
      <c r="DQ79" s="27"/>
      <c r="DR79" s="40"/>
      <c r="DS79" s="188"/>
      <c r="DT79" s="26"/>
      <c r="DU79" s="27"/>
      <c r="DV79" s="40"/>
      <c r="DW79" s="188"/>
      <c r="DX79" s="26"/>
      <c r="DY79" s="27"/>
      <c r="DZ79" s="40"/>
      <c r="EA79" s="188"/>
      <c r="EB79" s="26"/>
      <c r="EC79" s="27"/>
      <c r="ED79" s="40"/>
      <c r="EE79" s="188"/>
      <c r="EF79" s="26"/>
      <c r="EG79" s="27"/>
      <c r="EH79" s="40"/>
      <c r="EI79" s="188"/>
      <c r="EJ79" s="26"/>
      <c r="EK79" s="27"/>
      <c r="EL79" s="40"/>
      <c r="EM79" s="188"/>
      <c r="EN79" s="26"/>
      <c r="EO79" s="27"/>
      <c r="EP79" s="40"/>
      <c r="EQ79" s="188"/>
      <c r="ER79" s="26"/>
      <c r="ES79" s="27"/>
      <c r="ET79" s="40"/>
      <c r="EU79" s="188"/>
      <c r="EV79" s="26"/>
      <c r="EW79" s="27"/>
      <c r="EX79" s="40"/>
      <c r="EY79" s="188"/>
      <c r="EZ79" s="26"/>
      <c r="FA79" s="27"/>
      <c r="FB79" s="40"/>
      <c r="FC79" s="188"/>
      <c r="FD79" s="26"/>
      <c r="FE79" s="27"/>
      <c r="FF79" s="40"/>
      <c r="FG79" s="188"/>
      <c r="FH79" s="26"/>
      <c r="FI79" s="27"/>
      <c r="FJ79" s="40"/>
      <c r="FK79" s="188"/>
      <c r="FL79" s="26"/>
      <c r="FM79" s="27"/>
      <c r="FN79" s="40"/>
      <c r="FO79" s="188"/>
      <c r="FP79" s="26"/>
      <c r="FQ79" s="27"/>
      <c r="FR79" s="40"/>
      <c r="FS79" s="188"/>
      <c r="FT79" s="26"/>
      <c r="FU79" s="27"/>
      <c r="FV79" s="40"/>
      <c r="FW79" s="188"/>
      <c r="FX79" s="26"/>
      <c r="FY79" s="27"/>
      <c r="FZ79" s="40"/>
      <c r="GA79" s="188"/>
      <c r="GB79" s="26"/>
      <c r="GC79" s="27"/>
      <c r="GD79" s="40"/>
      <c r="GE79" s="188"/>
      <c r="GF79" s="26"/>
      <c r="GG79" s="27"/>
      <c r="GH79" s="40"/>
      <c r="GI79" s="188"/>
      <c r="GJ79" s="26"/>
      <c r="GK79" s="27"/>
      <c r="GL79" s="40"/>
      <c r="GM79" s="188"/>
      <c r="GN79" s="26"/>
      <c r="GO79" s="27"/>
      <c r="GP79" s="40"/>
      <c r="GQ79" s="188"/>
      <c r="GR79" s="26"/>
      <c r="GS79" s="27"/>
      <c r="GT79" s="40"/>
      <c r="GU79" s="188"/>
      <c r="GV79" s="26"/>
      <c r="GW79" s="27"/>
      <c r="GX79" s="40"/>
      <c r="GY79" s="188"/>
      <c r="GZ79" s="26"/>
      <c r="HA79" s="27"/>
      <c r="HB79" s="40"/>
      <c r="HC79" s="188"/>
      <c r="HD79" s="26"/>
      <c r="HE79" s="27"/>
      <c r="HF79" s="40"/>
      <c r="HG79" s="188"/>
      <c r="HH79" s="26"/>
      <c r="HI79" s="27"/>
      <c r="HJ79" s="40"/>
      <c r="HK79" s="188"/>
      <c r="HL79" s="26"/>
      <c r="HM79" s="27"/>
      <c r="HN79" s="40"/>
      <c r="HO79" s="188"/>
      <c r="HP79" s="26"/>
      <c r="HQ79" s="27"/>
      <c r="HR79" s="40"/>
      <c r="HS79" s="188"/>
      <c r="HT79" s="26"/>
      <c r="HU79" s="27"/>
      <c r="HV79" s="40"/>
      <c r="HW79" s="188"/>
      <c r="HX79" s="26"/>
      <c r="HY79" s="27"/>
      <c r="HZ79" s="40"/>
      <c r="IA79" s="188"/>
      <c r="IB79" s="26"/>
      <c r="IC79" s="27"/>
      <c r="ID79" s="40"/>
      <c r="IE79" s="188"/>
      <c r="IF79" s="26"/>
      <c r="IG79" s="27"/>
      <c r="IH79" s="40"/>
      <c r="II79" s="188"/>
      <c r="IJ79" s="26"/>
      <c r="IK79" s="27"/>
      <c r="IL79" s="40"/>
      <c r="IM79" s="188"/>
      <c r="IN79" s="26"/>
      <c r="IO79" s="27"/>
      <c r="IP79" s="40"/>
      <c r="IQ79" s="188"/>
      <c r="IR79" s="26"/>
      <c r="IS79" s="27"/>
      <c r="IT79" s="40"/>
      <c r="IU79" s="188"/>
      <c r="IV79" s="26"/>
    </row>
    <row r="80" spans="1:15" ht="242.25">
      <c r="A80" s="1062">
        <v>3.04</v>
      </c>
      <c r="B80" s="166" t="s">
        <v>68</v>
      </c>
      <c r="C80" s="1057"/>
      <c r="D80" s="1059"/>
      <c r="E80" s="1059"/>
      <c r="F80" s="7"/>
      <c r="G80" s="171"/>
      <c r="H80" s="97"/>
      <c r="I80" s="39"/>
      <c r="N80" s="89"/>
      <c r="O80" s="89"/>
    </row>
    <row r="81" spans="1:15" ht="12.75">
      <c r="A81" s="1095"/>
      <c r="B81" s="1096" t="s">
        <v>67</v>
      </c>
      <c r="C81" s="1057" t="s">
        <v>45</v>
      </c>
      <c r="D81" s="1059">
        <f>87.02+20.93+20.6+59.19+47.64+18.09+10.82+15.88+29.18+74.63</f>
        <v>383.98</v>
      </c>
      <c r="E81" s="1059"/>
      <c r="F81" s="7"/>
      <c r="G81" s="171"/>
      <c r="H81" s="97"/>
      <c r="I81" s="39" t="s">
        <v>1</v>
      </c>
      <c r="N81" s="89"/>
      <c r="O81" s="89"/>
    </row>
    <row r="82" spans="1:15" ht="12.75">
      <c r="A82" s="1095"/>
      <c r="B82" s="1096" t="s">
        <v>172</v>
      </c>
      <c r="C82" s="1057" t="s">
        <v>45</v>
      </c>
      <c r="D82" s="1059">
        <f>24.48+8.36+24.48+39.4+43.81+23.17+23.08+24+32.65+6.67</f>
        <v>250.09999999999997</v>
      </c>
      <c r="E82" s="1059"/>
      <c r="F82" s="7"/>
      <c r="G82" s="171"/>
      <c r="H82" s="97"/>
      <c r="I82" s="39"/>
      <c r="N82" s="89"/>
      <c r="O82" s="89"/>
    </row>
    <row r="83" spans="1:15" ht="12.75">
      <c r="A83" s="1095"/>
      <c r="B83" s="1096" t="s">
        <v>173</v>
      </c>
      <c r="C83" s="1057" t="s">
        <v>45</v>
      </c>
      <c r="D83" s="1059">
        <f>33.16+24.48+39.4+43.81+20.74+9.32+9.28+32.84+7.36</f>
        <v>220.39000000000001</v>
      </c>
      <c r="E83" s="1059"/>
      <c r="F83" s="7"/>
      <c r="G83" s="171"/>
      <c r="H83" s="97"/>
      <c r="I83" s="39"/>
      <c r="N83" s="89"/>
      <c r="O83" s="89"/>
    </row>
    <row r="84" spans="1:256" ht="12.75">
      <c r="A84" s="1091"/>
      <c r="B84" s="1094" t="s">
        <v>66</v>
      </c>
      <c r="C84" s="1058" t="s">
        <v>45</v>
      </c>
      <c r="D84" s="1058">
        <f>55.18*0.95+3*2.44*2+1*2.44*4+8.7*4</f>
        <v>111.62100000000001</v>
      </c>
      <c r="E84" s="1048"/>
      <c r="F84" s="38"/>
      <c r="H84" s="98"/>
      <c r="I84" s="26"/>
      <c r="L84" s="26"/>
      <c r="N84" s="89"/>
      <c r="O84" s="89"/>
      <c r="P84" s="26"/>
      <c r="T84" s="26"/>
      <c r="X84" s="26"/>
      <c r="Y84" s="27"/>
      <c r="Z84" s="40"/>
      <c r="AA84" s="188"/>
      <c r="AB84" s="26"/>
      <c r="AC84" s="27"/>
      <c r="AD84" s="40"/>
      <c r="AE84" s="188"/>
      <c r="AF84" s="26"/>
      <c r="AG84" s="27"/>
      <c r="AH84" s="40"/>
      <c r="AI84" s="188"/>
      <c r="AJ84" s="26"/>
      <c r="AK84" s="27"/>
      <c r="AL84" s="40"/>
      <c r="AM84" s="188"/>
      <c r="AN84" s="26"/>
      <c r="AO84" s="27"/>
      <c r="AP84" s="40"/>
      <c r="AQ84" s="188"/>
      <c r="AR84" s="26"/>
      <c r="AS84" s="27"/>
      <c r="AT84" s="40"/>
      <c r="AU84" s="188"/>
      <c r="AV84" s="26"/>
      <c r="AW84" s="27"/>
      <c r="AX84" s="40"/>
      <c r="AY84" s="188"/>
      <c r="AZ84" s="26"/>
      <c r="BA84" s="27"/>
      <c r="BB84" s="40"/>
      <c r="BC84" s="188"/>
      <c r="BD84" s="26"/>
      <c r="BE84" s="27"/>
      <c r="BF84" s="40"/>
      <c r="BG84" s="188"/>
      <c r="BH84" s="26"/>
      <c r="BI84" s="27"/>
      <c r="BJ84" s="40"/>
      <c r="BK84" s="188"/>
      <c r="BL84" s="26"/>
      <c r="BM84" s="27"/>
      <c r="BN84" s="40"/>
      <c r="BO84" s="188"/>
      <c r="BP84" s="26"/>
      <c r="BQ84" s="27"/>
      <c r="BR84" s="40"/>
      <c r="BS84" s="188"/>
      <c r="BT84" s="26"/>
      <c r="BU84" s="27"/>
      <c r="BV84" s="40"/>
      <c r="BW84" s="188"/>
      <c r="BX84" s="26"/>
      <c r="BY84" s="27"/>
      <c r="BZ84" s="40"/>
      <c r="CA84" s="188"/>
      <c r="CB84" s="26"/>
      <c r="CC84" s="27"/>
      <c r="CD84" s="40"/>
      <c r="CE84" s="188"/>
      <c r="CF84" s="26"/>
      <c r="CG84" s="27"/>
      <c r="CH84" s="40"/>
      <c r="CI84" s="188"/>
      <c r="CJ84" s="26"/>
      <c r="CK84" s="27"/>
      <c r="CL84" s="40"/>
      <c r="CM84" s="188"/>
      <c r="CN84" s="26"/>
      <c r="CO84" s="27"/>
      <c r="CP84" s="40"/>
      <c r="CQ84" s="188"/>
      <c r="CR84" s="26"/>
      <c r="CS84" s="27"/>
      <c r="CT84" s="40"/>
      <c r="CU84" s="188"/>
      <c r="CV84" s="26"/>
      <c r="CW84" s="27"/>
      <c r="CX84" s="40"/>
      <c r="CY84" s="188"/>
      <c r="CZ84" s="26"/>
      <c r="DA84" s="27"/>
      <c r="DB84" s="40"/>
      <c r="DC84" s="188"/>
      <c r="DD84" s="26"/>
      <c r="DE84" s="27"/>
      <c r="DF84" s="40"/>
      <c r="DG84" s="188"/>
      <c r="DH84" s="26"/>
      <c r="DI84" s="27"/>
      <c r="DJ84" s="40"/>
      <c r="DK84" s="188"/>
      <c r="DL84" s="26"/>
      <c r="DM84" s="27"/>
      <c r="DN84" s="40"/>
      <c r="DO84" s="188"/>
      <c r="DP84" s="26"/>
      <c r="DQ84" s="27"/>
      <c r="DR84" s="40"/>
      <c r="DS84" s="188"/>
      <c r="DT84" s="26"/>
      <c r="DU84" s="27"/>
      <c r="DV84" s="40"/>
      <c r="DW84" s="188"/>
      <c r="DX84" s="26"/>
      <c r="DY84" s="27"/>
      <c r="DZ84" s="40"/>
      <c r="EA84" s="188"/>
      <c r="EB84" s="26"/>
      <c r="EC84" s="27"/>
      <c r="ED84" s="40"/>
      <c r="EE84" s="188"/>
      <c r="EF84" s="26"/>
      <c r="EG84" s="27"/>
      <c r="EH84" s="40"/>
      <c r="EI84" s="188"/>
      <c r="EJ84" s="26"/>
      <c r="EK84" s="27"/>
      <c r="EL84" s="40"/>
      <c r="EM84" s="188"/>
      <c r="EN84" s="26"/>
      <c r="EO84" s="27"/>
      <c r="EP84" s="40"/>
      <c r="EQ84" s="188"/>
      <c r="ER84" s="26"/>
      <c r="ES84" s="27"/>
      <c r="ET84" s="40"/>
      <c r="EU84" s="188"/>
      <c r="EV84" s="26"/>
      <c r="EW84" s="27"/>
      <c r="EX84" s="40"/>
      <c r="EY84" s="188"/>
      <c r="EZ84" s="26"/>
      <c r="FA84" s="27"/>
      <c r="FB84" s="40"/>
      <c r="FC84" s="188"/>
      <c r="FD84" s="26"/>
      <c r="FE84" s="27"/>
      <c r="FF84" s="40"/>
      <c r="FG84" s="188"/>
      <c r="FH84" s="26"/>
      <c r="FI84" s="27"/>
      <c r="FJ84" s="40"/>
      <c r="FK84" s="188"/>
      <c r="FL84" s="26"/>
      <c r="FM84" s="27"/>
      <c r="FN84" s="40"/>
      <c r="FO84" s="188"/>
      <c r="FP84" s="26"/>
      <c r="FQ84" s="27"/>
      <c r="FR84" s="40"/>
      <c r="FS84" s="188"/>
      <c r="FT84" s="26"/>
      <c r="FU84" s="27"/>
      <c r="FV84" s="40"/>
      <c r="FW84" s="188"/>
      <c r="FX84" s="26"/>
      <c r="FY84" s="27"/>
      <c r="FZ84" s="40"/>
      <c r="GA84" s="188"/>
      <c r="GB84" s="26"/>
      <c r="GC84" s="27"/>
      <c r="GD84" s="40"/>
      <c r="GE84" s="188"/>
      <c r="GF84" s="26"/>
      <c r="GG84" s="27"/>
      <c r="GH84" s="40"/>
      <c r="GI84" s="188"/>
      <c r="GJ84" s="26"/>
      <c r="GK84" s="27"/>
      <c r="GL84" s="40"/>
      <c r="GM84" s="188"/>
      <c r="GN84" s="26"/>
      <c r="GO84" s="27"/>
      <c r="GP84" s="40"/>
      <c r="GQ84" s="188"/>
      <c r="GR84" s="26"/>
      <c r="GS84" s="27"/>
      <c r="GT84" s="40"/>
      <c r="GU84" s="188"/>
      <c r="GV84" s="26"/>
      <c r="GW84" s="27"/>
      <c r="GX84" s="40"/>
      <c r="GY84" s="188"/>
      <c r="GZ84" s="26"/>
      <c r="HA84" s="27"/>
      <c r="HB84" s="40"/>
      <c r="HC84" s="188"/>
      <c r="HD84" s="26"/>
      <c r="HE84" s="27"/>
      <c r="HF84" s="40"/>
      <c r="HG84" s="188"/>
      <c r="HH84" s="26"/>
      <c r="HI84" s="27"/>
      <c r="HJ84" s="40"/>
      <c r="HK84" s="188"/>
      <c r="HL84" s="26"/>
      <c r="HM84" s="27"/>
      <c r="HN84" s="40"/>
      <c r="HO84" s="188"/>
      <c r="HP84" s="26"/>
      <c r="HQ84" s="27"/>
      <c r="HR84" s="40"/>
      <c r="HS84" s="188"/>
      <c r="HT84" s="26"/>
      <c r="HU84" s="27"/>
      <c r="HV84" s="40"/>
      <c r="HW84" s="188"/>
      <c r="HX84" s="26"/>
      <c r="HY84" s="27"/>
      <c r="HZ84" s="40"/>
      <c r="IA84" s="188"/>
      <c r="IB84" s="26"/>
      <c r="IC84" s="27"/>
      <c r="ID84" s="40"/>
      <c r="IE84" s="188"/>
      <c r="IF84" s="26"/>
      <c r="IG84" s="27"/>
      <c r="IH84" s="40"/>
      <c r="II84" s="188"/>
      <c r="IJ84" s="26"/>
      <c r="IK84" s="27"/>
      <c r="IL84" s="40"/>
      <c r="IM84" s="188"/>
      <c r="IN84" s="26"/>
      <c r="IO84" s="27"/>
      <c r="IP84" s="40"/>
      <c r="IQ84" s="188"/>
      <c r="IR84" s="26"/>
      <c r="IS84" s="27"/>
      <c r="IT84" s="40"/>
      <c r="IU84" s="188"/>
      <c r="IV84" s="26"/>
    </row>
    <row r="85" spans="1:256" ht="12.75">
      <c r="A85" s="1097"/>
      <c r="B85" s="1091" t="s">
        <v>53</v>
      </c>
      <c r="C85" s="1058" t="s">
        <v>45</v>
      </c>
      <c r="D85" s="1058">
        <f>D81+D82+D83+D84</f>
        <v>966.0909999999999</v>
      </c>
      <c r="E85" s="1059"/>
      <c r="F85" s="82">
        <f>D85*E85</f>
        <v>0</v>
      </c>
      <c r="G85" s="171">
        <v>8.5</v>
      </c>
      <c r="H85" s="98"/>
      <c r="I85" s="26"/>
      <c r="L85" s="26"/>
      <c r="N85" s="89">
        <f>E85*1.2</f>
        <v>0</v>
      </c>
      <c r="O85" s="89">
        <f>N85*D85</f>
        <v>0</v>
      </c>
      <c r="P85" s="26"/>
      <c r="T85" s="26"/>
      <c r="X85" s="26"/>
      <c r="Y85" s="27"/>
      <c r="Z85" s="40"/>
      <c r="AA85" s="188"/>
      <c r="AB85" s="26"/>
      <c r="AC85" s="27"/>
      <c r="AD85" s="40"/>
      <c r="AE85" s="188"/>
      <c r="AF85" s="26"/>
      <c r="AG85" s="27"/>
      <c r="AH85" s="40"/>
      <c r="AI85" s="188"/>
      <c r="AJ85" s="26"/>
      <c r="AK85" s="27"/>
      <c r="AL85" s="40"/>
      <c r="AM85" s="188"/>
      <c r="AN85" s="26"/>
      <c r="AO85" s="27"/>
      <c r="AP85" s="40"/>
      <c r="AQ85" s="188"/>
      <c r="AR85" s="26"/>
      <c r="AS85" s="27"/>
      <c r="AT85" s="40"/>
      <c r="AU85" s="188"/>
      <c r="AV85" s="26"/>
      <c r="AW85" s="27"/>
      <c r="AX85" s="40"/>
      <c r="AY85" s="188"/>
      <c r="AZ85" s="26"/>
      <c r="BA85" s="27"/>
      <c r="BB85" s="40"/>
      <c r="BC85" s="188"/>
      <c r="BD85" s="26"/>
      <c r="BE85" s="27"/>
      <c r="BF85" s="40"/>
      <c r="BG85" s="188"/>
      <c r="BH85" s="26"/>
      <c r="BI85" s="27"/>
      <c r="BJ85" s="40"/>
      <c r="BK85" s="188"/>
      <c r="BL85" s="26"/>
      <c r="BM85" s="27"/>
      <c r="BN85" s="40"/>
      <c r="BO85" s="188"/>
      <c r="BP85" s="26"/>
      <c r="BQ85" s="27"/>
      <c r="BR85" s="40"/>
      <c r="BS85" s="188"/>
      <c r="BT85" s="26"/>
      <c r="BU85" s="27"/>
      <c r="BV85" s="40"/>
      <c r="BW85" s="188"/>
      <c r="BX85" s="26"/>
      <c r="BY85" s="27"/>
      <c r="BZ85" s="40"/>
      <c r="CA85" s="188"/>
      <c r="CB85" s="26"/>
      <c r="CC85" s="27"/>
      <c r="CD85" s="40"/>
      <c r="CE85" s="188"/>
      <c r="CF85" s="26"/>
      <c r="CG85" s="27"/>
      <c r="CH85" s="40"/>
      <c r="CI85" s="188"/>
      <c r="CJ85" s="26"/>
      <c r="CK85" s="27"/>
      <c r="CL85" s="40"/>
      <c r="CM85" s="188"/>
      <c r="CN85" s="26"/>
      <c r="CO85" s="27"/>
      <c r="CP85" s="40"/>
      <c r="CQ85" s="188"/>
      <c r="CR85" s="26"/>
      <c r="CS85" s="27"/>
      <c r="CT85" s="40"/>
      <c r="CU85" s="188"/>
      <c r="CV85" s="26"/>
      <c r="CW85" s="27"/>
      <c r="CX85" s="40"/>
      <c r="CY85" s="188"/>
      <c r="CZ85" s="26"/>
      <c r="DA85" s="27"/>
      <c r="DB85" s="40"/>
      <c r="DC85" s="188"/>
      <c r="DD85" s="26"/>
      <c r="DE85" s="27"/>
      <c r="DF85" s="40"/>
      <c r="DG85" s="188"/>
      <c r="DH85" s="26"/>
      <c r="DI85" s="27"/>
      <c r="DJ85" s="40"/>
      <c r="DK85" s="188"/>
      <c r="DL85" s="26"/>
      <c r="DM85" s="27"/>
      <c r="DN85" s="40"/>
      <c r="DO85" s="188"/>
      <c r="DP85" s="26"/>
      <c r="DQ85" s="27"/>
      <c r="DR85" s="40"/>
      <c r="DS85" s="188"/>
      <c r="DT85" s="26"/>
      <c r="DU85" s="27"/>
      <c r="DV85" s="40"/>
      <c r="DW85" s="188"/>
      <c r="DX85" s="26"/>
      <c r="DY85" s="27"/>
      <c r="DZ85" s="40"/>
      <c r="EA85" s="188"/>
      <c r="EB85" s="26"/>
      <c r="EC85" s="27"/>
      <c r="ED85" s="40"/>
      <c r="EE85" s="188"/>
      <c r="EF85" s="26"/>
      <c r="EG85" s="27"/>
      <c r="EH85" s="40"/>
      <c r="EI85" s="188"/>
      <c r="EJ85" s="26"/>
      <c r="EK85" s="27"/>
      <c r="EL85" s="40"/>
      <c r="EM85" s="188"/>
      <c r="EN85" s="26"/>
      <c r="EO85" s="27"/>
      <c r="EP85" s="40"/>
      <c r="EQ85" s="188"/>
      <c r="ER85" s="26"/>
      <c r="ES85" s="27"/>
      <c r="ET85" s="40"/>
      <c r="EU85" s="188"/>
      <c r="EV85" s="26"/>
      <c r="EW85" s="27"/>
      <c r="EX85" s="40"/>
      <c r="EY85" s="188"/>
      <c r="EZ85" s="26"/>
      <c r="FA85" s="27"/>
      <c r="FB85" s="40"/>
      <c r="FC85" s="188"/>
      <c r="FD85" s="26"/>
      <c r="FE85" s="27"/>
      <c r="FF85" s="40"/>
      <c r="FG85" s="188"/>
      <c r="FH85" s="26"/>
      <c r="FI85" s="27"/>
      <c r="FJ85" s="40"/>
      <c r="FK85" s="188"/>
      <c r="FL85" s="26"/>
      <c r="FM85" s="27"/>
      <c r="FN85" s="40"/>
      <c r="FO85" s="188"/>
      <c r="FP85" s="26"/>
      <c r="FQ85" s="27"/>
      <c r="FR85" s="40"/>
      <c r="FS85" s="188"/>
      <c r="FT85" s="26"/>
      <c r="FU85" s="27"/>
      <c r="FV85" s="40"/>
      <c r="FW85" s="188"/>
      <c r="FX85" s="26"/>
      <c r="FY85" s="27"/>
      <c r="FZ85" s="40"/>
      <c r="GA85" s="188"/>
      <c r="GB85" s="26"/>
      <c r="GC85" s="27"/>
      <c r="GD85" s="40"/>
      <c r="GE85" s="188"/>
      <c r="GF85" s="26"/>
      <c r="GG85" s="27"/>
      <c r="GH85" s="40"/>
      <c r="GI85" s="188"/>
      <c r="GJ85" s="26"/>
      <c r="GK85" s="27"/>
      <c r="GL85" s="40"/>
      <c r="GM85" s="188"/>
      <c r="GN85" s="26"/>
      <c r="GO85" s="27"/>
      <c r="GP85" s="40"/>
      <c r="GQ85" s="188"/>
      <c r="GR85" s="26"/>
      <c r="GS85" s="27"/>
      <c r="GT85" s="40"/>
      <c r="GU85" s="188"/>
      <c r="GV85" s="26"/>
      <c r="GW85" s="27"/>
      <c r="GX85" s="40"/>
      <c r="GY85" s="188"/>
      <c r="GZ85" s="26"/>
      <c r="HA85" s="27"/>
      <c r="HB85" s="40"/>
      <c r="HC85" s="188"/>
      <c r="HD85" s="26"/>
      <c r="HE85" s="27"/>
      <c r="HF85" s="40"/>
      <c r="HG85" s="188"/>
      <c r="HH85" s="26"/>
      <c r="HI85" s="27"/>
      <c r="HJ85" s="40"/>
      <c r="HK85" s="188"/>
      <c r="HL85" s="26"/>
      <c r="HM85" s="27"/>
      <c r="HN85" s="40"/>
      <c r="HO85" s="188"/>
      <c r="HP85" s="26"/>
      <c r="HQ85" s="27"/>
      <c r="HR85" s="40"/>
      <c r="HS85" s="188"/>
      <c r="HT85" s="26"/>
      <c r="HU85" s="27"/>
      <c r="HV85" s="40"/>
      <c r="HW85" s="188"/>
      <c r="HX85" s="26"/>
      <c r="HY85" s="27"/>
      <c r="HZ85" s="40"/>
      <c r="IA85" s="188"/>
      <c r="IB85" s="26"/>
      <c r="IC85" s="27"/>
      <c r="ID85" s="40"/>
      <c r="IE85" s="188"/>
      <c r="IF85" s="26"/>
      <c r="IG85" s="27"/>
      <c r="IH85" s="40"/>
      <c r="II85" s="188"/>
      <c r="IJ85" s="26"/>
      <c r="IK85" s="27"/>
      <c r="IL85" s="40"/>
      <c r="IM85" s="188"/>
      <c r="IN85" s="26"/>
      <c r="IO85" s="27"/>
      <c r="IP85" s="40"/>
      <c r="IQ85" s="188"/>
      <c r="IR85" s="26"/>
      <c r="IS85" s="27"/>
      <c r="IT85" s="40"/>
      <c r="IU85" s="188"/>
      <c r="IV85" s="26"/>
    </row>
    <row r="86" spans="1:256" ht="12.75">
      <c r="A86" s="1097"/>
      <c r="B86" s="1091"/>
      <c r="C86" s="1058"/>
      <c r="D86" s="1058"/>
      <c r="E86" s="1059"/>
      <c r="F86" s="82"/>
      <c r="G86" s="171"/>
      <c r="H86" s="98"/>
      <c r="I86" s="26"/>
      <c r="L86" s="26"/>
      <c r="N86" s="89"/>
      <c r="O86" s="89"/>
      <c r="P86" s="26"/>
      <c r="T86" s="26"/>
      <c r="X86" s="26"/>
      <c r="Y86" s="27"/>
      <c r="Z86" s="40"/>
      <c r="AA86" s="188"/>
      <c r="AB86" s="26"/>
      <c r="AC86" s="27"/>
      <c r="AD86" s="40"/>
      <c r="AE86" s="188"/>
      <c r="AF86" s="26"/>
      <c r="AG86" s="27"/>
      <c r="AH86" s="40"/>
      <c r="AI86" s="188"/>
      <c r="AJ86" s="26"/>
      <c r="AK86" s="27"/>
      <c r="AL86" s="40"/>
      <c r="AM86" s="188"/>
      <c r="AN86" s="26"/>
      <c r="AO86" s="27"/>
      <c r="AP86" s="40"/>
      <c r="AQ86" s="188"/>
      <c r="AR86" s="26"/>
      <c r="AS86" s="27"/>
      <c r="AT86" s="40"/>
      <c r="AU86" s="188"/>
      <c r="AV86" s="26"/>
      <c r="AW86" s="27"/>
      <c r="AX86" s="40"/>
      <c r="AY86" s="188"/>
      <c r="AZ86" s="26"/>
      <c r="BA86" s="27"/>
      <c r="BB86" s="40"/>
      <c r="BC86" s="188"/>
      <c r="BD86" s="26"/>
      <c r="BE86" s="27"/>
      <c r="BF86" s="40"/>
      <c r="BG86" s="188"/>
      <c r="BH86" s="26"/>
      <c r="BI86" s="27"/>
      <c r="BJ86" s="40"/>
      <c r="BK86" s="188"/>
      <c r="BL86" s="26"/>
      <c r="BM86" s="27"/>
      <c r="BN86" s="40"/>
      <c r="BO86" s="188"/>
      <c r="BP86" s="26"/>
      <c r="BQ86" s="27"/>
      <c r="BR86" s="40"/>
      <c r="BS86" s="188"/>
      <c r="BT86" s="26"/>
      <c r="BU86" s="27"/>
      <c r="BV86" s="40"/>
      <c r="BW86" s="188"/>
      <c r="BX86" s="26"/>
      <c r="BY86" s="27"/>
      <c r="BZ86" s="40"/>
      <c r="CA86" s="188"/>
      <c r="CB86" s="26"/>
      <c r="CC86" s="27"/>
      <c r="CD86" s="40"/>
      <c r="CE86" s="188"/>
      <c r="CF86" s="26"/>
      <c r="CG86" s="27"/>
      <c r="CH86" s="40"/>
      <c r="CI86" s="188"/>
      <c r="CJ86" s="26"/>
      <c r="CK86" s="27"/>
      <c r="CL86" s="40"/>
      <c r="CM86" s="188"/>
      <c r="CN86" s="26"/>
      <c r="CO86" s="27"/>
      <c r="CP86" s="40"/>
      <c r="CQ86" s="188"/>
      <c r="CR86" s="26"/>
      <c r="CS86" s="27"/>
      <c r="CT86" s="40"/>
      <c r="CU86" s="188"/>
      <c r="CV86" s="26"/>
      <c r="CW86" s="27"/>
      <c r="CX86" s="40"/>
      <c r="CY86" s="188"/>
      <c r="CZ86" s="26"/>
      <c r="DA86" s="27"/>
      <c r="DB86" s="40"/>
      <c r="DC86" s="188"/>
      <c r="DD86" s="26"/>
      <c r="DE86" s="27"/>
      <c r="DF86" s="40"/>
      <c r="DG86" s="188"/>
      <c r="DH86" s="26"/>
      <c r="DI86" s="27"/>
      <c r="DJ86" s="40"/>
      <c r="DK86" s="188"/>
      <c r="DL86" s="26"/>
      <c r="DM86" s="27"/>
      <c r="DN86" s="40"/>
      <c r="DO86" s="188"/>
      <c r="DP86" s="26"/>
      <c r="DQ86" s="27"/>
      <c r="DR86" s="40"/>
      <c r="DS86" s="188"/>
      <c r="DT86" s="26"/>
      <c r="DU86" s="27"/>
      <c r="DV86" s="40"/>
      <c r="DW86" s="188"/>
      <c r="DX86" s="26"/>
      <c r="DY86" s="27"/>
      <c r="DZ86" s="40"/>
      <c r="EA86" s="188"/>
      <c r="EB86" s="26"/>
      <c r="EC86" s="27"/>
      <c r="ED86" s="40"/>
      <c r="EE86" s="188"/>
      <c r="EF86" s="26"/>
      <c r="EG86" s="27"/>
      <c r="EH86" s="40"/>
      <c r="EI86" s="188"/>
      <c r="EJ86" s="26"/>
      <c r="EK86" s="27"/>
      <c r="EL86" s="40"/>
      <c r="EM86" s="188"/>
      <c r="EN86" s="26"/>
      <c r="EO86" s="27"/>
      <c r="EP86" s="40"/>
      <c r="EQ86" s="188"/>
      <c r="ER86" s="26"/>
      <c r="ES86" s="27"/>
      <c r="ET86" s="40"/>
      <c r="EU86" s="188"/>
      <c r="EV86" s="26"/>
      <c r="EW86" s="27"/>
      <c r="EX86" s="40"/>
      <c r="EY86" s="188"/>
      <c r="EZ86" s="26"/>
      <c r="FA86" s="27"/>
      <c r="FB86" s="40"/>
      <c r="FC86" s="188"/>
      <c r="FD86" s="26"/>
      <c r="FE86" s="27"/>
      <c r="FF86" s="40"/>
      <c r="FG86" s="188"/>
      <c r="FH86" s="26"/>
      <c r="FI86" s="27"/>
      <c r="FJ86" s="40"/>
      <c r="FK86" s="188"/>
      <c r="FL86" s="26"/>
      <c r="FM86" s="27"/>
      <c r="FN86" s="40"/>
      <c r="FO86" s="188"/>
      <c r="FP86" s="26"/>
      <c r="FQ86" s="27"/>
      <c r="FR86" s="40"/>
      <c r="FS86" s="188"/>
      <c r="FT86" s="26"/>
      <c r="FU86" s="27"/>
      <c r="FV86" s="40"/>
      <c r="FW86" s="188"/>
      <c r="FX86" s="26"/>
      <c r="FY86" s="27"/>
      <c r="FZ86" s="40"/>
      <c r="GA86" s="188"/>
      <c r="GB86" s="26"/>
      <c r="GC86" s="27"/>
      <c r="GD86" s="40"/>
      <c r="GE86" s="188"/>
      <c r="GF86" s="26"/>
      <c r="GG86" s="27"/>
      <c r="GH86" s="40"/>
      <c r="GI86" s="188"/>
      <c r="GJ86" s="26"/>
      <c r="GK86" s="27"/>
      <c r="GL86" s="40"/>
      <c r="GM86" s="188"/>
      <c r="GN86" s="26"/>
      <c r="GO86" s="27"/>
      <c r="GP86" s="40"/>
      <c r="GQ86" s="188"/>
      <c r="GR86" s="26"/>
      <c r="GS86" s="27"/>
      <c r="GT86" s="40"/>
      <c r="GU86" s="188"/>
      <c r="GV86" s="26"/>
      <c r="GW86" s="27"/>
      <c r="GX86" s="40"/>
      <c r="GY86" s="188"/>
      <c r="GZ86" s="26"/>
      <c r="HA86" s="27"/>
      <c r="HB86" s="40"/>
      <c r="HC86" s="188"/>
      <c r="HD86" s="26"/>
      <c r="HE86" s="27"/>
      <c r="HF86" s="40"/>
      <c r="HG86" s="188"/>
      <c r="HH86" s="26"/>
      <c r="HI86" s="27"/>
      <c r="HJ86" s="40"/>
      <c r="HK86" s="188"/>
      <c r="HL86" s="26"/>
      <c r="HM86" s="27"/>
      <c r="HN86" s="40"/>
      <c r="HO86" s="188"/>
      <c r="HP86" s="26"/>
      <c r="HQ86" s="27"/>
      <c r="HR86" s="40"/>
      <c r="HS86" s="188"/>
      <c r="HT86" s="26"/>
      <c r="HU86" s="27"/>
      <c r="HV86" s="40"/>
      <c r="HW86" s="188"/>
      <c r="HX86" s="26"/>
      <c r="HY86" s="27"/>
      <c r="HZ86" s="40"/>
      <c r="IA86" s="188"/>
      <c r="IB86" s="26"/>
      <c r="IC86" s="27"/>
      <c r="ID86" s="40"/>
      <c r="IE86" s="188"/>
      <c r="IF86" s="26"/>
      <c r="IG86" s="27"/>
      <c r="IH86" s="40"/>
      <c r="II86" s="188"/>
      <c r="IJ86" s="26"/>
      <c r="IK86" s="27"/>
      <c r="IL86" s="40"/>
      <c r="IM86" s="188"/>
      <c r="IN86" s="26"/>
      <c r="IO86" s="27"/>
      <c r="IP86" s="40"/>
      <c r="IQ86" s="188"/>
      <c r="IR86" s="26"/>
      <c r="IS86" s="27"/>
      <c r="IT86" s="40"/>
      <c r="IU86" s="188"/>
      <c r="IV86" s="26"/>
    </row>
    <row r="87" spans="1:15" ht="242.25">
      <c r="A87" s="1062">
        <v>3.05</v>
      </c>
      <c r="B87" s="166" t="s">
        <v>69</v>
      </c>
      <c r="C87" s="1057"/>
      <c r="D87" s="1059"/>
      <c r="E87" s="1059"/>
      <c r="F87" s="7"/>
      <c r="G87" s="171"/>
      <c r="H87" s="97"/>
      <c r="I87" s="39"/>
      <c r="N87" s="89"/>
      <c r="O87" s="89"/>
    </row>
    <row r="88" spans="1:256" ht="12.75">
      <c r="A88" s="1097"/>
      <c r="B88" s="1091" t="s">
        <v>53</v>
      </c>
      <c r="C88" s="1058" t="s">
        <v>45</v>
      </c>
      <c r="D88" s="1058">
        <f>(3.51+3.66)*1.4+4.5+3.49*1.5*2+3.68*1.5*2+4.5*2</f>
        <v>45.048</v>
      </c>
      <c r="E88" s="1059"/>
      <c r="F88" s="82">
        <f>D88*E88</f>
        <v>0</v>
      </c>
      <c r="G88" s="171">
        <v>8.5</v>
      </c>
      <c r="H88" s="98"/>
      <c r="I88" s="26"/>
      <c r="L88" s="26"/>
      <c r="N88" s="89">
        <f>E88*1.2</f>
        <v>0</v>
      </c>
      <c r="O88" s="89">
        <f>N88*D88</f>
        <v>0</v>
      </c>
      <c r="P88" s="26"/>
      <c r="T88" s="26"/>
      <c r="X88" s="26"/>
      <c r="Y88" s="27"/>
      <c r="Z88" s="40"/>
      <c r="AA88" s="188"/>
      <c r="AB88" s="26"/>
      <c r="AC88" s="27"/>
      <c r="AD88" s="40"/>
      <c r="AE88" s="188"/>
      <c r="AF88" s="26"/>
      <c r="AG88" s="27"/>
      <c r="AH88" s="40"/>
      <c r="AI88" s="188"/>
      <c r="AJ88" s="26"/>
      <c r="AK88" s="27"/>
      <c r="AL88" s="40"/>
      <c r="AM88" s="188"/>
      <c r="AN88" s="26"/>
      <c r="AO88" s="27"/>
      <c r="AP88" s="40"/>
      <c r="AQ88" s="188"/>
      <c r="AR88" s="26"/>
      <c r="AS88" s="27"/>
      <c r="AT88" s="40"/>
      <c r="AU88" s="188"/>
      <c r="AV88" s="26"/>
      <c r="AW88" s="27"/>
      <c r="AX88" s="40"/>
      <c r="AY88" s="188"/>
      <c r="AZ88" s="26"/>
      <c r="BA88" s="27"/>
      <c r="BB88" s="40"/>
      <c r="BC88" s="188"/>
      <c r="BD88" s="26"/>
      <c r="BE88" s="27"/>
      <c r="BF88" s="40"/>
      <c r="BG88" s="188"/>
      <c r="BH88" s="26"/>
      <c r="BI88" s="27"/>
      <c r="BJ88" s="40"/>
      <c r="BK88" s="188"/>
      <c r="BL88" s="26"/>
      <c r="BM88" s="27"/>
      <c r="BN88" s="40"/>
      <c r="BO88" s="188"/>
      <c r="BP88" s="26"/>
      <c r="BQ88" s="27"/>
      <c r="BR88" s="40"/>
      <c r="BS88" s="188"/>
      <c r="BT88" s="26"/>
      <c r="BU88" s="27"/>
      <c r="BV88" s="40"/>
      <c r="BW88" s="188"/>
      <c r="BX88" s="26"/>
      <c r="BY88" s="27"/>
      <c r="BZ88" s="40"/>
      <c r="CA88" s="188"/>
      <c r="CB88" s="26"/>
      <c r="CC88" s="27"/>
      <c r="CD88" s="40"/>
      <c r="CE88" s="188"/>
      <c r="CF88" s="26"/>
      <c r="CG88" s="27"/>
      <c r="CH88" s="40"/>
      <c r="CI88" s="188"/>
      <c r="CJ88" s="26"/>
      <c r="CK88" s="27"/>
      <c r="CL88" s="40"/>
      <c r="CM88" s="188"/>
      <c r="CN88" s="26"/>
      <c r="CO88" s="27"/>
      <c r="CP88" s="40"/>
      <c r="CQ88" s="188"/>
      <c r="CR88" s="26"/>
      <c r="CS88" s="27"/>
      <c r="CT88" s="40"/>
      <c r="CU88" s="188"/>
      <c r="CV88" s="26"/>
      <c r="CW88" s="27"/>
      <c r="CX88" s="40"/>
      <c r="CY88" s="188"/>
      <c r="CZ88" s="26"/>
      <c r="DA88" s="27"/>
      <c r="DB88" s="40"/>
      <c r="DC88" s="188"/>
      <c r="DD88" s="26"/>
      <c r="DE88" s="27"/>
      <c r="DF88" s="40"/>
      <c r="DG88" s="188"/>
      <c r="DH88" s="26"/>
      <c r="DI88" s="27"/>
      <c r="DJ88" s="40"/>
      <c r="DK88" s="188"/>
      <c r="DL88" s="26"/>
      <c r="DM88" s="27"/>
      <c r="DN88" s="40"/>
      <c r="DO88" s="188"/>
      <c r="DP88" s="26"/>
      <c r="DQ88" s="27"/>
      <c r="DR88" s="40"/>
      <c r="DS88" s="188"/>
      <c r="DT88" s="26"/>
      <c r="DU88" s="27"/>
      <c r="DV88" s="40"/>
      <c r="DW88" s="188"/>
      <c r="DX88" s="26"/>
      <c r="DY88" s="27"/>
      <c r="DZ88" s="40"/>
      <c r="EA88" s="188"/>
      <c r="EB88" s="26"/>
      <c r="EC88" s="27"/>
      <c r="ED88" s="40"/>
      <c r="EE88" s="188"/>
      <c r="EF88" s="26"/>
      <c r="EG88" s="27"/>
      <c r="EH88" s="40"/>
      <c r="EI88" s="188"/>
      <c r="EJ88" s="26"/>
      <c r="EK88" s="27"/>
      <c r="EL88" s="40"/>
      <c r="EM88" s="188"/>
      <c r="EN88" s="26"/>
      <c r="EO88" s="27"/>
      <c r="EP88" s="40"/>
      <c r="EQ88" s="188"/>
      <c r="ER88" s="26"/>
      <c r="ES88" s="27"/>
      <c r="ET88" s="40"/>
      <c r="EU88" s="188"/>
      <c r="EV88" s="26"/>
      <c r="EW88" s="27"/>
      <c r="EX88" s="40"/>
      <c r="EY88" s="188"/>
      <c r="EZ88" s="26"/>
      <c r="FA88" s="27"/>
      <c r="FB88" s="40"/>
      <c r="FC88" s="188"/>
      <c r="FD88" s="26"/>
      <c r="FE88" s="27"/>
      <c r="FF88" s="40"/>
      <c r="FG88" s="188"/>
      <c r="FH88" s="26"/>
      <c r="FI88" s="27"/>
      <c r="FJ88" s="40"/>
      <c r="FK88" s="188"/>
      <c r="FL88" s="26"/>
      <c r="FM88" s="27"/>
      <c r="FN88" s="40"/>
      <c r="FO88" s="188"/>
      <c r="FP88" s="26"/>
      <c r="FQ88" s="27"/>
      <c r="FR88" s="40"/>
      <c r="FS88" s="188"/>
      <c r="FT88" s="26"/>
      <c r="FU88" s="27"/>
      <c r="FV88" s="40"/>
      <c r="FW88" s="188"/>
      <c r="FX88" s="26"/>
      <c r="FY88" s="27"/>
      <c r="FZ88" s="40"/>
      <c r="GA88" s="188"/>
      <c r="GB88" s="26"/>
      <c r="GC88" s="27"/>
      <c r="GD88" s="40"/>
      <c r="GE88" s="188"/>
      <c r="GF88" s="26"/>
      <c r="GG88" s="27"/>
      <c r="GH88" s="40"/>
      <c r="GI88" s="188"/>
      <c r="GJ88" s="26"/>
      <c r="GK88" s="27"/>
      <c r="GL88" s="40"/>
      <c r="GM88" s="188"/>
      <c r="GN88" s="26"/>
      <c r="GO88" s="27"/>
      <c r="GP88" s="40"/>
      <c r="GQ88" s="188"/>
      <c r="GR88" s="26"/>
      <c r="GS88" s="27"/>
      <c r="GT88" s="40"/>
      <c r="GU88" s="188"/>
      <c r="GV88" s="26"/>
      <c r="GW88" s="27"/>
      <c r="GX88" s="40"/>
      <c r="GY88" s="188"/>
      <c r="GZ88" s="26"/>
      <c r="HA88" s="27"/>
      <c r="HB88" s="40"/>
      <c r="HC88" s="188"/>
      <c r="HD88" s="26"/>
      <c r="HE88" s="27"/>
      <c r="HF88" s="40"/>
      <c r="HG88" s="188"/>
      <c r="HH88" s="26"/>
      <c r="HI88" s="27"/>
      <c r="HJ88" s="40"/>
      <c r="HK88" s="188"/>
      <c r="HL88" s="26"/>
      <c r="HM88" s="27"/>
      <c r="HN88" s="40"/>
      <c r="HO88" s="188"/>
      <c r="HP88" s="26"/>
      <c r="HQ88" s="27"/>
      <c r="HR88" s="40"/>
      <c r="HS88" s="188"/>
      <c r="HT88" s="26"/>
      <c r="HU88" s="27"/>
      <c r="HV88" s="40"/>
      <c r="HW88" s="188"/>
      <c r="HX88" s="26"/>
      <c r="HY88" s="27"/>
      <c r="HZ88" s="40"/>
      <c r="IA88" s="188"/>
      <c r="IB88" s="26"/>
      <c r="IC88" s="27"/>
      <c r="ID88" s="40"/>
      <c r="IE88" s="188"/>
      <c r="IF88" s="26"/>
      <c r="IG88" s="27"/>
      <c r="IH88" s="40"/>
      <c r="II88" s="188"/>
      <c r="IJ88" s="26"/>
      <c r="IK88" s="27"/>
      <c r="IL88" s="40"/>
      <c r="IM88" s="188"/>
      <c r="IN88" s="26"/>
      <c r="IO88" s="27"/>
      <c r="IP88" s="40"/>
      <c r="IQ88" s="188"/>
      <c r="IR88" s="26"/>
      <c r="IS88" s="27"/>
      <c r="IT88" s="40"/>
      <c r="IU88" s="188"/>
      <c r="IV88" s="26"/>
    </row>
    <row r="89" spans="1:15" ht="12.75">
      <c r="A89" s="1062"/>
      <c r="B89" s="166"/>
      <c r="C89" s="1057"/>
      <c r="D89" s="1059"/>
      <c r="E89" s="1059"/>
      <c r="F89" s="7"/>
      <c r="G89" s="171"/>
      <c r="H89" s="97"/>
      <c r="I89" s="39"/>
      <c r="N89" s="89">
        <f>E89*1.2</f>
        <v>0</v>
      </c>
      <c r="O89" s="89">
        <f>N89*D89</f>
        <v>0</v>
      </c>
    </row>
    <row r="90" spans="1:15" ht="191.25">
      <c r="A90" s="1062">
        <v>3.06</v>
      </c>
      <c r="B90" s="166" t="s">
        <v>70</v>
      </c>
      <c r="C90" s="1057"/>
      <c r="D90" s="1059"/>
      <c r="E90" s="1059"/>
      <c r="F90" s="7"/>
      <c r="G90" s="171"/>
      <c r="H90" s="97"/>
      <c r="I90" s="39"/>
      <c r="N90" s="89"/>
      <c r="O90" s="89"/>
    </row>
    <row r="91" spans="1:15" ht="12.75">
      <c r="A91" s="1095"/>
      <c r="B91" s="1096" t="s">
        <v>67</v>
      </c>
      <c r="C91" s="1057" t="s">
        <v>45</v>
      </c>
      <c r="D91" s="1059">
        <f>7.71+20.69+4.3+7.19+6.2+36</f>
        <v>82.09</v>
      </c>
      <c r="E91" s="1059"/>
      <c r="F91" s="7"/>
      <c r="G91" s="171"/>
      <c r="H91" s="97"/>
      <c r="I91" s="39"/>
      <c r="N91" s="89"/>
      <c r="O91" s="89"/>
    </row>
    <row r="92" spans="1:15" ht="12.75">
      <c r="A92" s="1095"/>
      <c r="B92" s="1096" t="s">
        <v>172</v>
      </c>
      <c r="C92" s="1057" t="s">
        <v>45</v>
      </c>
      <c r="D92" s="1059">
        <f>15+15.24+14.75+20.69+15.14+14.7+35.44</f>
        <v>130.96</v>
      </c>
      <c r="E92" s="1059"/>
      <c r="F92" s="7"/>
      <c r="G92" s="171"/>
      <c r="H92" s="97"/>
      <c r="I92" s="39"/>
      <c r="N92" s="89"/>
      <c r="O92" s="89"/>
    </row>
    <row r="93" spans="1:15" ht="12.75">
      <c r="A93" s="1095"/>
      <c r="B93" s="1096" t="s">
        <v>173</v>
      </c>
      <c r="C93" s="1057" t="s">
        <v>45</v>
      </c>
      <c r="D93" s="1059">
        <f>15+20.69+16.41+13.97+11.25+3.39+3.4+5.58+24.81</f>
        <v>114.5</v>
      </c>
      <c r="E93" s="1059"/>
      <c r="F93" s="7"/>
      <c r="G93" s="171"/>
      <c r="H93" s="97"/>
      <c r="I93" s="39"/>
      <c r="N93" s="89"/>
      <c r="O93" s="89"/>
    </row>
    <row r="94" spans="1:256" ht="12.75">
      <c r="A94" s="1097"/>
      <c r="B94" s="1091" t="s">
        <v>53</v>
      </c>
      <c r="C94" s="1058" t="s">
        <v>45</v>
      </c>
      <c r="D94" s="1058">
        <f>D91+D92+D93</f>
        <v>327.55</v>
      </c>
      <c r="E94" s="1059"/>
      <c r="F94" s="82">
        <f>D94*E94</f>
        <v>0</v>
      </c>
      <c r="G94" s="171">
        <v>8.5</v>
      </c>
      <c r="H94" s="98"/>
      <c r="I94" s="26"/>
      <c r="L94" s="26"/>
      <c r="N94" s="89">
        <f>E94*1.2</f>
        <v>0</v>
      </c>
      <c r="O94" s="89">
        <f>N94*D94</f>
        <v>0</v>
      </c>
      <c r="P94" s="26"/>
      <c r="T94" s="26"/>
      <c r="X94" s="26"/>
      <c r="Y94" s="27"/>
      <c r="Z94" s="40"/>
      <c r="AA94" s="188"/>
      <c r="AB94" s="26"/>
      <c r="AC94" s="27"/>
      <c r="AD94" s="40"/>
      <c r="AE94" s="188"/>
      <c r="AF94" s="26"/>
      <c r="AG94" s="27"/>
      <c r="AH94" s="40"/>
      <c r="AI94" s="188"/>
      <c r="AJ94" s="26"/>
      <c r="AK94" s="27"/>
      <c r="AL94" s="40"/>
      <c r="AM94" s="188"/>
      <c r="AN94" s="26"/>
      <c r="AO94" s="27"/>
      <c r="AP94" s="40"/>
      <c r="AQ94" s="188"/>
      <c r="AR94" s="26"/>
      <c r="AS94" s="27"/>
      <c r="AT94" s="40"/>
      <c r="AU94" s="188"/>
      <c r="AV94" s="26"/>
      <c r="AW94" s="27"/>
      <c r="AX94" s="40"/>
      <c r="AY94" s="188"/>
      <c r="AZ94" s="26"/>
      <c r="BA94" s="27"/>
      <c r="BB94" s="40"/>
      <c r="BC94" s="188"/>
      <c r="BD94" s="26"/>
      <c r="BE94" s="27"/>
      <c r="BF94" s="40"/>
      <c r="BG94" s="188"/>
      <c r="BH94" s="26"/>
      <c r="BI94" s="27"/>
      <c r="BJ94" s="40"/>
      <c r="BK94" s="188"/>
      <c r="BL94" s="26"/>
      <c r="BM94" s="27"/>
      <c r="BN94" s="40"/>
      <c r="BO94" s="188"/>
      <c r="BP94" s="26"/>
      <c r="BQ94" s="27"/>
      <c r="BR94" s="40"/>
      <c r="BS94" s="188"/>
      <c r="BT94" s="26"/>
      <c r="BU94" s="27"/>
      <c r="BV94" s="40"/>
      <c r="BW94" s="188"/>
      <c r="BX94" s="26"/>
      <c r="BY94" s="27"/>
      <c r="BZ94" s="40"/>
      <c r="CA94" s="188"/>
      <c r="CB94" s="26"/>
      <c r="CC94" s="27"/>
      <c r="CD94" s="40"/>
      <c r="CE94" s="188"/>
      <c r="CF94" s="26"/>
      <c r="CG94" s="27"/>
      <c r="CH94" s="40"/>
      <c r="CI94" s="188"/>
      <c r="CJ94" s="26"/>
      <c r="CK94" s="27"/>
      <c r="CL94" s="40"/>
      <c r="CM94" s="188"/>
      <c r="CN94" s="26"/>
      <c r="CO94" s="27"/>
      <c r="CP94" s="40"/>
      <c r="CQ94" s="188"/>
      <c r="CR94" s="26"/>
      <c r="CS94" s="27"/>
      <c r="CT94" s="40"/>
      <c r="CU94" s="188"/>
      <c r="CV94" s="26"/>
      <c r="CW94" s="27"/>
      <c r="CX94" s="40"/>
      <c r="CY94" s="188"/>
      <c r="CZ94" s="26"/>
      <c r="DA94" s="27"/>
      <c r="DB94" s="40"/>
      <c r="DC94" s="188"/>
      <c r="DD94" s="26"/>
      <c r="DE94" s="27"/>
      <c r="DF94" s="40"/>
      <c r="DG94" s="188"/>
      <c r="DH94" s="26"/>
      <c r="DI94" s="27"/>
      <c r="DJ94" s="40"/>
      <c r="DK94" s="188"/>
      <c r="DL94" s="26"/>
      <c r="DM94" s="27"/>
      <c r="DN94" s="40"/>
      <c r="DO94" s="188"/>
      <c r="DP94" s="26"/>
      <c r="DQ94" s="27"/>
      <c r="DR94" s="40"/>
      <c r="DS94" s="188"/>
      <c r="DT94" s="26"/>
      <c r="DU94" s="27"/>
      <c r="DV94" s="40"/>
      <c r="DW94" s="188"/>
      <c r="DX94" s="26"/>
      <c r="DY94" s="27"/>
      <c r="DZ94" s="40"/>
      <c r="EA94" s="188"/>
      <c r="EB94" s="26"/>
      <c r="EC94" s="27"/>
      <c r="ED94" s="40"/>
      <c r="EE94" s="188"/>
      <c r="EF94" s="26"/>
      <c r="EG94" s="27"/>
      <c r="EH94" s="40"/>
      <c r="EI94" s="188"/>
      <c r="EJ94" s="26"/>
      <c r="EK94" s="27"/>
      <c r="EL94" s="40"/>
      <c r="EM94" s="188"/>
      <c r="EN94" s="26"/>
      <c r="EO94" s="27"/>
      <c r="EP94" s="40"/>
      <c r="EQ94" s="188"/>
      <c r="ER94" s="26"/>
      <c r="ES94" s="27"/>
      <c r="ET94" s="40"/>
      <c r="EU94" s="188"/>
      <c r="EV94" s="26"/>
      <c r="EW94" s="27"/>
      <c r="EX94" s="40"/>
      <c r="EY94" s="188"/>
      <c r="EZ94" s="26"/>
      <c r="FA94" s="27"/>
      <c r="FB94" s="40"/>
      <c r="FC94" s="188"/>
      <c r="FD94" s="26"/>
      <c r="FE94" s="27"/>
      <c r="FF94" s="40"/>
      <c r="FG94" s="188"/>
      <c r="FH94" s="26"/>
      <c r="FI94" s="27"/>
      <c r="FJ94" s="40"/>
      <c r="FK94" s="188"/>
      <c r="FL94" s="26"/>
      <c r="FM94" s="27"/>
      <c r="FN94" s="40"/>
      <c r="FO94" s="188"/>
      <c r="FP94" s="26"/>
      <c r="FQ94" s="27"/>
      <c r="FR94" s="40"/>
      <c r="FS94" s="188"/>
      <c r="FT94" s="26"/>
      <c r="FU94" s="27"/>
      <c r="FV94" s="40"/>
      <c r="FW94" s="188"/>
      <c r="FX94" s="26"/>
      <c r="FY94" s="27"/>
      <c r="FZ94" s="40"/>
      <c r="GA94" s="188"/>
      <c r="GB94" s="26"/>
      <c r="GC94" s="27"/>
      <c r="GD94" s="40"/>
      <c r="GE94" s="188"/>
      <c r="GF94" s="26"/>
      <c r="GG94" s="27"/>
      <c r="GH94" s="40"/>
      <c r="GI94" s="188"/>
      <c r="GJ94" s="26"/>
      <c r="GK94" s="27"/>
      <c r="GL94" s="40"/>
      <c r="GM94" s="188"/>
      <c r="GN94" s="26"/>
      <c r="GO94" s="27"/>
      <c r="GP94" s="40"/>
      <c r="GQ94" s="188"/>
      <c r="GR94" s="26"/>
      <c r="GS94" s="27"/>
      <c r="GT94" s="40"/>
      <c r="GU94" s="188"/>
      <c r="GV94" s="26"/>
      <c r="GW94" s="27"/>
      <c r="GX94" s="40"/>
      <c r="GY94" s="188"/>
      <c r="GZ94" s="26"/>
      <c r="HA94" s="27"/>
      <c r="HB94" s="40"/>
      <c r="HC94" s="188"/>
      <c r="HD94" s="26"/>
      <c r="HE94" s="27"/>
      <c r="HF94" s="40"/>
      <c r="HG94" s="188"/>
      <c r="HH94" s="26"/>
      <c r="HI94" s="27"/>
      <c r="HJ94" s="40"/>
      <c r="HK94" s="188"/>
      <c r="HL94" s="26"/>
      <c r="HM94" s="27"/>
      <c r="HN94" s="40"/>
      <c r="HO94" s="188"/>
      <c r="HP94" s="26"/>
      <c r="HQ94" s="27"/>
      <c r="HR94" s="40"/>
      <c r="HS94" s="188"/>
      <c r="HT94" s="26"/>
      <c r="HU94" s="27"/>
      <c r="HV94" s="40"/>
      <c r="HW94" s="188"/>
      <c r="HX94" s="26"/>
      <c r="HY94" s="27"/>
      <c r="HZ94" s="40"/>
      <c r="IA94" s="188"/>
      <c r="IB94" s="26"/>
      <c r="IC94" s="27"/>
      <c r="ID94" s="40"/>
      <c r="IE94" s="188"/>
      <c r="IF94" s="26"/>
      <c r="IG94" s="27"/>
      <c r="IH94" s="40"/>
      <c r="II94" s="188"/>
      <c r="IJ94" s="26"/>
      <c r="IK94" s="27"/>
      <c r="IL94" s="40"/>
      <c r="IM94" s="188"/>
      <c r="IN94" s="26"/>
      <c r="IO94" s="27"/>
      <c r="IP94" s="40"/>
      <c r="IQ94" s="188"/>
      <c r="IR94" s="26"/>
      <c r="IS94" s="27"/>
      <c r="IT94" s="40"/>
      <c r="IU94" s="188"/>
      <c r="IV94" s="26"/>
    </row>
    <row r="95" spans="1:256" ht="12.75">
      <c r="A95" s="1091"/>
      <c r="B95" s="1091"/>
      <c r="C95" s="1080"/>
      <c r="D95" s="1080"/>
      <c r="E95" s="1098"/>
      <c r="F95" s="200"/>
      <c r="G95" s="171"/>
      <c r="H95" s="98"/>
      <c r="I95" s="26"/>
      <c r="L95" s="26"/>
      <c r="N95" s="89"/>
      <c r="O95" s="89"/>
      <c r="P95" s="26"/>
      <c r="T95" s="26"/>
      <c r="X95" s="26"/>
      <c r="Y95" s="27"/>
      <c r="Z95" s="40"/>
      <c r="AA95" s="188"/>
      <c r="AB95" s="26"/>
      <c r="AC95" s="27"/>
      <c r="AD95" s="40"/>
      <c r="AE95" s="188"/>
      <c r="AF95" s="26"/>
      <c r="AG95" s="27"/>
      <c r="AH95" s="40"/>
      <c r="AI95" s="188"/>
      <c r="AJ95" s="26"/>
      <c r="AK95" s="27"/>
      <c r="AL95" s="40"/>
      <c r="AM95" s="188"/>
      <c r="AN95" s="26"/>
      <c r="AO95" s="27"/>
      <c r="AP95" s="40"/>
      <c r="AQ95" s="188"/>
      <c r="AR95" s="26"/>
      <c r="AS95" s="27"/>
      <c r="AT95" s="40"/>
      <c r="AU95" s="188"/>
      <c r="AV95" s="26"/>
      <c r="AW95" s="27"/>
      <c r="AX95" s="40"/>
      <c r="AY95" s="188"/>
      <c r="AZ95" s="26"/>
      <c r="BA95" s="27"/>
      <c r="BB95" s="40"/>
      <c r="BC95" s="188"/>
      <c r="BD95" s="26"/>
      <c r="BE95" s="27"/>
      <c r="BF95" s="40"/>
      <c r="BG95" s="188"/>
      <c r="BH95" s="26"/>
      <c r="BI95" s="27"/>
      <c r="BJ95" s="40"/>
      <c r="BK95" s="188"/>
      <c r="BL95" s="26"/>
      <c r="BM95" s="27"/>
      <c r="BN95" s="40"/>
      <c r="BO95" s="188"/>
      <c r="BP95" s="26"/>
      <c r="BQ95" s="27"/>
      <c r="BR95" s="40"/>
      <c r="BS95" s="188"/>
      <c r="BT95" s="26"/>
      <c r="BU95" s="27"/>
      <c r="BV95" s="40"/>
      <c r="BW95" s="188"/>
      <c r="BX95" s="26"/>
      <c r="BY95" s="27"/>
      <c r="BZ95" s="40"/>
      <c r="CA95" s="188"/>
      <c r="CB95" s="26"/>
      <c r="CC95" s="27"/>
      <c r="CD95" s="40"/>
      <c r="CE95" s="188"/>
      <c r="CF95" s="26"/>
      <c r="CG95" s="27"/>
      <c r="CH95" s="40"/>
      <c r="CI95" s="188"/>
      <c r="CJ95" s="26"/>
      <c r="CK95" s="27"/>
      <c r="CL95" s="40"/>
      <c r="CM95" s="188"/>
      <c r="CN95" s="26"/>
      <c r="CO95" s="27"/>
      <c r="CP95" s="40"/>
      <c r="CQ95" s="188"/>
      <c r="CR95" s="26"/>
      <c r="CS95" s="27"/>
      <c r="CT95" s="40"/>
      <c r="CU95" s="188"/>
      <c r="CV95" s="26"/>
      <c r="CW95" s="27"/>
      <c r="CX95" s="40"/>
      <c r="CY95" s="188"/>
      <c r="CZ95" s="26"/>
      <c r="DA95" s="27"/>
      <c r="DB95" s="40"/>
      <c r="DC95" s="188"/>
      <c r="DD95" s="26"/>
      <c r="DE95" s="27"/>
      <c r="DF95" s="40"/>
      <c r="DG95" s="188"/>
      <c r="DH95" s="26"/>
      <c r="DI95" s="27"/>
      <c r="DJ95" s="40"/>
      <c r="DK95" s="188"/>
      <c r="DL95" s="26"/>
      <c r="DM95" s="27"/>
      <c r="DN95" s="40"/>
      <c r="DO95" s="188"/>
      <c r="DP95" s="26"/>
      <c r="DQ95" s="27"/>
      <c r="DR95" s="40"/>
      <c r="DS95" s="188"/>
      <c r="DT95" s="26"/>
      <c r="DU95" s="27"/>
      <c r="DV95" s="40"/>
      <c r="DW95" s="188"/>
      <c r="DX95" s="26"/>
      <c r="DY95" s="27"/>
      <c r="DZ95" s="40"/>
      <c r="EA95" s="188"/>
      <c r="EB95" s="26"/>
      <c r="EC95" s="27"/>
      <c r="ED95" s="40"/>
      <c r="EE95" s="188"/>
      <c r="EF95" s="26"/>
      <c r="EG95" s="27"/>
      <c r="EH95" s="40"/>
      <c r="EI95" s="188"/>
      <c r="EJ95" s="26"/>
      <c r="EK95" s="27"/>
      <c r="EL95" s="40"/>
      <c r="EM95" s="188"/>
      <c r="EN95" s="26"/>
      <c r="EO95" s="27"/>
      <c r="EP95" s="40"/>
      <c r="EQ95" s="188"/>
      <c r="ER95" s="26"/>
      <c r="ES95" s="27"/>
      <c r="ET95" s="40"/>
      <c r="EU95" s="188"/>
      <c r="EV95" s="26"/>
      <c r="EW95" s="27"/>
      <c r="EX95" s="40"/>
      <c r="EY95" s="188"/>
      <c r="EZ95" s="26"/>
      <c r="FA95" s="27"/>
      <c r="FB95" s="40"/>
      <c r="FC95" s="188"/>
      <c r="FD95" s="26"/>
      <c r="FE95" s="27"/>
      <c r="FF95" s="40"/>
      <c r="FG95" s="188"/>
      <c r="FH95" s="26"/>
      <c r="FI95" s="27"/>
      <c r="FJ95" s="40"/>
      <c r="FK95" s="188"/>
      <c r="FL95" s="26"/>
      <c r="FM95" s="27"/>
      <c r="FN95" s="40"/>
      <c r="FO95" s="188"/>
      <c r="FP95" s="26"/>
      <c r="FQ95" s="27"/>
      <c r="FR95" s="40"/>
      <c r="FS95" s="188"/>
      <c r="FT95" s="26"/>
      <c r="FU95" s="27"/>
      <c r="FV95" s="40"/>
      <c r="FW95" s="188"/>
      <c r="FX95" s="26"/>
      <c r="FY95" s="27"/>
      <c r="FZ95" s="40"/>
      <c r="GA95" s="188"/>
      <c r="GB95" s="26"/>
      <c r="GC95" s="27"/>
      <c r="GD95" s="40"/>
      <c r="GE95" s="188"/>
      <c r="GF95" s="26"/>
      <c r="GG95" s="27"/>
      <c r="GH95" s="40"/>
      <c r="GI95" s="188"/>
      <c r="GJ95" s="26"/>
      <c r="GK95" s="27"/>
      <c r="GL95" s="40"/>
      <c r="GM95" s="188"/>
      <c r="GN95" s="26"/>
      <c r="GO95" s="27"/>
      <c r="GP95" s="40"/>
      <c r="GQ95" s="188"/>
      <c r="GR95" s="26"/>
      <c r="GS95" s="27"/>
      <c r="GT95" s="40"/>
      <c r="GU95" s="188"/>
      <c r="GV95" s="26"/>
      <c r="GW95" s="27"/>
      <c r="GX95" s="40"/>
      <c r="GY95" s="188"/>
      <c r="GZ95" s="26"/>
      <c r="HA95" s="27"/>
      <c r="HB95" s="40"/>
      <c r="HC95" s="188"/>
      <c r="HD95" s="26"/>
      <c r="HE95" s="27"/>
      <c r="HF95" s="40"/>
      <c r="HG95" s="188"/>
      <c r="HH95" s="26"/>
      <c r="HI95" s="27"/>
      <c r="HJ95" s="40"/>
      <c r="HK95" s="188"/>
      <c r="HL95" s="26"/>
      <c r="HM95" s="27"/>
      <c r="HN95" s="40"/>
      <c r="HO95" s="188"/>
      <c r="HP95" s="26"/>
      <c r="HQ95" s="27"/>
      <c r="HR95" s="40"/>
      <c r="HS95" s="188"/>
      <c r="HT95" s="26"/>
      <c r="HU95" s="27"/>
      <c r="HV95" s="40"/>
      <c r="HW95" s="188"/>
      <c r="HX95" s="26"/>
      <c r="HY95" s="27"/>
      <c r="HZ95" s="40"/>
      <c r="IA95" s="188"/>
      <c r="IB95" s="26"/>
      <c r="IC95" s="27"/>
      <c r="ID95" s="40"/>
      <c r="IE95" s="188"/>
      <c r="IF95" s="26"/>
      <c r="IG95" s="27"/>
      <c r="IH95" s="40"/>
      <c r="II95" s="188"/>
      <c r="IJ95" s="26"/>
      <c r="IK95" s="27"/>
      <c r="IL95" s="40"/>
      <c r="IM95" s="188"/>
      <c r="IN95" s="26"/>
      <c r="IO95" s="27"/>
      <c r="IP95" s="40"/>
      <c r="IQ95" s="188"/>
      <c r="IR95" s="26"/>
      <c r="IS95" s="27"/>
      <c r="IT95" s="40"/>
      <c r="IU95" s="188"/>
      <c r="IV95" s="26"/>
    </row>
    <row r="96" spans="1:15" ht="242.25">
      <c r="A96" s="1062">
        <v>3.07</v>
      </c>
      <c r="B96" s="166" t="s">
        <v>250</v>
      </c>
      <c r="C96" s="1057"/>
      <c r="D96" s="1059"/>
      <c r="E96" s="1059"/>
      <c r="F96" s="7"/>
      <c r="G96" s="171"/>
      <c r="H96" s="97"/>
      <c r="I96" s="39"/>
      <c r="N96" s="89"/>
      <c r="O96" s="89"/>
    </row>
    <row r="97" spans="1:15" ht="12.75">
      <c r="A97" s="1095"/>
      <c r="B97" s="1096"/>
      <c r="C97" s="1058" t="s">
        <v>45</v>
      </c>
      <c r="D97" s="1058">
        <f>13.3*1.2*3+(4.2*2+6.657/0.920504853)*1.2*2+17.4*1.2</f>
        <v>106.2765624862599</v>
      </c>
      <c r="E97" s="1059"/>
      <c r="F97" s="82">
        <f>D97*E97</f>
        <v>0</v>
      </c>
      <c r="G97" s="171">
        <v>8.5</v>
      </c>
      <c r="H97" s="97"/>
      <c r="I97" s="39"/>
      <c r="N97" s="89">
        <f>E97*1.2</f>
        <v>0</v>
      </c>
      <c r="O97" s="89">
        <f>N97*D97</f>
        <v>0</v>
      </c>
    </row>
    <row r="98" spans="1:15" ht="242.25">
      <c r="A98" s="1062">
        <v>3.08</v>
      </c>
      <c r="B98" s="166" t="s">
        <v>233</v>
      </c>
      <c r="C98" s="1057"/>
      <c r="D98" s="1059"/>
      <c r="E98" s="1059"/>
      <c r="F98" s="7"/>
      <c r="G98" s="171"/>
      <c r="H98" s="97"/>
      <c r="I98" s="39"/>
      <c r="N98" s="89"/>
      <c r="O98" s="89"/>
    </row>
    <row r="99" spans="1:15" ht="12.75">
      <c r="A99" s="1062"/>
      <c r="B99" s="166"/>
      <c r="C99" s="1058" t="s">
        <v>45</v>
      </c>
      <c r="D99" s="1059">
        <f>3.7+5.48+10.25</f>
        <v>19.43</v>
      </c>
      <c r="E99" s="1059"/>
      <c r="F99" s="82">
        <f>D99*E99</f>
        <v>0</v>
      </c>
      <c r="G99" s="171">
        <v>8.5</v>
      </c>
      <c r="H99" s="97"/>
      <c r="I99" s="39"/>
      <c r="N99" s="89">
        <f>E99*1.2</f>
        <v>0</v>
      </c>
      <c r="O99" s="89">
        <f>N99*D99</f>
        <v>0</v>
      </c>
    </row>
    <row r="100" spans="1:15" ht="229.5">
      <c r="A100" s="1062">
        <v>3.09</v>
      </c>
      <c r="B100" s="166" t="s">
        <v>231</v>
      </c>
      <c r="C100" s="1058" t="s">
        <v>45</v>
      </c>
      <c r="D100" s="1058">
        <f>1.2*(18.74*2+14.6*2)</f>
        <v>80.01599999999999</v>
      </c>
      <c r="E100" s="1059"/>
      <c r="F100" s="82">
        <f>D100*E100</f>
        <v>0</v>
      </c>
      <c r="G100" s="171">
        <v>8.5</v>
      </c>
      <c r="H100" s="97"/>
      <c r="I100" s="39"/>
      <c r="N100" s="89">
        <f>E100*1.2</f>
        <v>0</v>
      </c>
      <c r="O100" s="89">
        <f>N100*D100</f>
        <v>0</v>
      </c>
    </row>
    <row r="101" spans="1:15" ht="280.5">
      <c r="A101" s="1095">
        <v>3.1</v>
      </c>
      <c r="B101" s="1096" t="s">
        <v>251</v>
      </c>
      <c r="C101" s="1058" t="s">
        <v>45</v>
      </c>
      <c r="D101" s="1058">
        <f>12.8</f>
        <v>12.8</v>
      </c>
      <c r="E101" s="1059"/>
      <c r="F101" s="82">
        <f>D101*E101</f>
        <v>0</v>
      </c>
      <c r="G101" s="171">
        <v>50</v>
      </c>
      <c r="H101" s="97"/>
      <c r="I101" s="39"/>
      <c r="N101" s="89">
        <f>E101*1.2</f>
        <v>0</v>
      </c>
      <c r="O101" s="89">
        <f>N101*D101</f>
        <v>0</v>
      </c>
    </row>
    <row r="102" spans="1:15" ht="140.25">
      <c r="A102" s="1095">
        <v>3.11</v>
      </c>
      <c r="B102" s="1096" t="s">
        <v>252</v>
      </c>
      <c r="C102" s="1058" t="s">
        <v>71</v>
      </c>
      <c r="D102" s="1058">
        <f>12.8</f>
        <v>12.8</v>
      </c>
      <c r="E102" s="1059"/>
      <c r="F102" s="82">
        <f>D102*E102</f>
        <v>0</v>
      </c>
      <c r="G102" s="171">
        <v>25</v>
      </c>
      <c r="H102" s="97"/>
      <c r="I102" s="39"/>
      <c r="N102" s="89">
        <f>E102*1.2</f>
        <v>0</v>
      </c>
      <c r="O102" s="89">
        <f>N102*D102</f>
        <v>0</v>
      </c>
    </row>
    <row r="103" spans="1:15" ht="15.75">
      <c r="A103" s="610">
        <v>3</v>
      </c>
      <c r="B103" s="611" t="s">
        <v>21</v>
      </c>
      <c r="C103" s="617"/>
      <c r="D103" s="618"/>
      <c r="E103" s="612" t="s">
        <v>97</v>
      </c>
      <c r="F103" s="612">
        <f>SUM(F64:F102)</f>
        <v>0</v>
      </c>
      <c r="G103" s="613"/>
      <c r="H103" s="619"/>
      <c r="I103" s="620"/>
      <c r="J103" s="609"/>
      <c r="K103" s="609"/>
      <c r="L103" s="609"/>
      <c r="M103" s="609"/>
      <c r="N103" s="615"/>
      <c r="O103" s="616">
        <f>SUM(O64:O102)</f>
        <v>0</v>
      </c>
    </row>
    <row r="104" spans="1:15" ht="15.75">
      <c r="A104" s="652"/>
      <c r="B104" s="653"/>
      <c r="C104" s="654"/>
      <c r="D104" s="655"/>
      <c r="E104" s="656"/>
      <c r="F104" s="656"/>
      <c r="G104" s="26"/>
      <c r="H104" s="97"/>
      <c r="I104" s="39"/>
      <c r="N104" s="48"/>
      <c r="O104" s="48"/>
    </row>
    <row r="105" spans="1:15" s="165" customFormat="1" ht="12.75">
      <c r="A105" s="657"/>
      <c r="B105" s="657"/>
      <c r="C105" s="657"/>
      <c r="D105" s="657"/>
      <c r="E105" s="657"/>
      <c r="F105" s="657"/>
      <c r="N105" s="33"/>
      <c r="O105" s="33"/>
    </row>
    <row r="106" spans="1:15" ht="15.75">
      <c r="A106" s="621">
        <v>4</v>
      </c>
      <c r="B106" s="622" t="s">
        <v>176</v>
      </c>
      <c r="C106" s="623"/>
      <c r="D106" s="624"/>
      <c r="E106" s="625"/>
      <c r="F106" s="626"/>
      <c r="G106" s="658"/>
      <c r="H106" s="619"/>
      <c r="I106" s="620"/>
      <c r="J106" s="609"/>
      <c r="K106" s="609"/>
      <c r="L106" s="609"/>
      <c r="M106" s="609"/>
      <c r="N106" s="615"/>
      <c r="O106" s="615"/>
    </row>
    <row r="107" spans="1:15" ht="25.5">
      <c r="A107" s="630" t="s">
        <v>38</v>
      </c>
      <c r="B107" s="629" t="s">
        <v>39</v>
      </c>
      <c r="C107" s="628" t="s">
        <v>40</v>
      </c>
      <c r="D107" s="628" t="s">
        <v>41</v>
      </c>
      <c r="E107" s="599" t="s">
        <v>1261</v>
      </c>
      <c r="F107" s="599" t="s">
        <v>1262</v>
      </c>
      <c r="G107" s="600"/>
      <c r="H107" s="601"/>
      <c r="I107" s="601"/>
      <c r="J107" s="146"/>
      <c r="K107" s="146"/>
      <c r="L107" s="601"/>
      <c r="M107" s="146"/>
      <c r="N107" s="631" t="s">
        <v>1264</v>
      </c>
      <c r="O107" s="631" t="s">
        <v>1263</v>
      </c>
    </row>
    <row r="108" spans="1:15" ht="194.25" customHeight="1">
      <c r="A108" s="8"/>
      <c r="B108" s="1213" t="s">
        <v>72</v>
      </c>
      <c r="C108" s="1213"/>
      <c r="D108" s="1213"/>
      <c r="E108" s="1213"/>
      <c r="F108" s="1102"/>
      <c r="G108" s="171"/>
      <c r="H108" s="97"/>
      <c r="I108" s="39"/>
      <c r="N108" s="89"/>
      <c r="O108" s="89"/>
    </row>
    <row r="109" spans="1:15" ht="43.5" customHeight="1">
      <c r="A109" s="8"/>
      <c r="B109" s="1213" t="s">
        <v>73</v>
      </c>
      <c r="C109" s="1213"/>
      <c r="D109" s="1213"/>
      <c r="E109" s="1213"/>
      <c r="F109" s="1104"/>
      <c r="G109" s="171"/>
      <c r="H109" s="97"/>
      <c r="I109" s="39"/>
      <c r="N109" s="89"/>
      <c r="O109" s="89"/>
    </row>
    <row r="110" spans="1:15" ht="116.25" customHeight="1">
      <c r="A110" s="49"/>
      <c r="B110" s="1213" t="s">
        <v>74</v>
      </c>
      <c r="C110" s="1213"/>
      <c r="D110" s="1213"/>
      <c r="E110" s="1213"/>
      <c r="F110" s="1102"/>
      <c r="G110" s="171"/>
      <c r="H110" s="97"/>
      <c r="I110" s="39"/>
      <c r="N110" s="89"/>
      <c r="O110" s="89"/>
    </row>
    <row r="111" spans="1:15" ht="39.75" customHeight="1">
      <c r="A111" s="49"/>
      <c r="B111" s="1213" t="s">
        <v>75</v>
      </c>
      <c r="C111" s="1213"/>
      <c r="D111" s="1213"/>
      <c r="E111" s="1213"/>
      <c r="F111" s="1105"/>
      <c r="G111" s="171"/>
      <c r="H111" s="97"/>
      <c r="I111" s="39"/>
      <c r="N111" s="89"/>
      <c r="O111" s="89"/>
    </row>
    <row r="112" spans="1:15" ht="114.75">
      <c r="A112" s="8">
        <v>4.01</v>
      </c>
      <c r="B112" s="85" t="s">
        <v>76</v>
      </c>
      <c r="C112" s="168"/>
      <c r="D112" s="168"/>
      <c r="E112" s="69"/>
      <c r="F112" s="168"/>
      <c r="G112" s="171"/>
      <c r="H112" s="97"/>
      <c r="I112" s="39"/>
      <c r="N112" s="89"/>
      <c r="O112" s="89"/>
    </row>
    <row r="113" spans="1:15" ht="38.25">
      <c r="A113" s="8"/>
      <c r="B113" s="85" t="s">
        <v>77</v>
      </c>
      <c r="C113" s="74"/>
      <c r="D113" s="104"/>
      <c r="E113" s="125"/>
      <c r="F113" s="125"/>
      <c r="G113" s="171"/>
      <c r="H113" s="97"/>
      <c r="I113" s="39"/>
      <c r="N113" s="89"/>
      <c r="O113" s="89"/>
    </row>
    <row r="114" spans="1:15" ht="12.75">
      <c r="A114" s="8"/>
      <c r="B114" s="85"/>
      <c r="C114" s="74" t="s">
        <v>57</v>
      </c>
      <c r="D114" s="104">
        <f>24.608</f>
        <v>24.608</v>
      </c>
      <c r="E114" s="69"/>
      <c r="F114" s="82">
        <f>D114*E114</f>
        <v>0</v>
      </c>
      <c r="G114" s="171">
        <v>100</v>
      </c>
      <c r="H114" s="97"/>
      <c r="I114" s="39"/>
      <c r="N114" s="89">
        <f>E114*1.2</f>
        <v>0</v>
      </c>
      <c r="O114" s="89">
        <f>N114*D114</f>
        <v>0</v>
      </c>
    </row>
    <row r="115" spans="1:15" s="150" customFormat="1" ht="89.25">
      <c r="A115" s="102">
        <v>4.02</v>
      </c>
      <c r="B115" s="176" t="s">
        <v>292</v>
      </c>
      <c r="C115" s="177"/>
      <c r="D115" s="177"/>
      <c r="E115" s="177"/>
      <c r="H115" s="178"/>
      <c r="I115" s="149"/>
      <c r="N115" s="89"/>
      <c r="O115" s="89"/>
    </row>
    <row r="116" spans="1:15" s="150" customFormat="1" ht="12.75">
      <c r="A116" s="102"/>
      <c r="B116" s="176" t="s">
        <v>78</v>
      </c>
      <c r="D116" s="177">
        <f>12.5*0.8</f>
        <v>10</v>
      </c>
      <c r="E116" s="177"/>
      <c r="F116" s="179"/>
      <c r="H116" s="178"/>
      <c r="I116" s="149"/>
      <c r="N116" s="89"/>
      <c r="O116" s="89"/>
    </row>
    <row r="117" spans="1:15" s="150" customFormat="1" ht="12.75">
      <c r="A117" s="102"/>
      <c r="B117" s="180" t="s">
        <v>79</v>
      </c>
      <c r="C117" s="174"/>
      <c r="D117" s="175">
        <f>6.1*0.8</f>
        <v>4.88</v>
      </c>
      <c r="E117" s="181"/>
      <c r="F117" s="175"/>
      <c r="G117" s="171"/>
      <c r="H117" s="178"/>
      <c r="I117" s="149"/>
      <c r="N117" s="89"/>
      <c r="O117" s="89"/>
    </row>
    <row r="118" spans="1:15" s="150" customFormat="1" ht="12.75">
      <c r="A118" s="102"/>
      <c r="B118" s="180" t="s">
        <v>53</v>
      </c>
      <c r="C118" s="172" t="s">
        <v>57</v>
      </c>
      <c r="D118" s="82">
        <f>SUM(D116:D117)</f>
        <v>14.879999999999999</v>
      </c>
      <c r="E118" s="182"/>
      <c r="F118" s="82">
        <f>D118*E118</f>
        <v>0</v>
      </c>
      <c r="G118" s="171">
        <v>160</v>
      </c>
      <c r="H118" s="178"/>
      <c r="I118" s="149"/>
      <c r="N118" s="89">
        <f>E118*1.2</f>
        <v>0</v>
      </c>
      <c r="O118" s="89">
        <f>N118*D118</f>
        <v>0</v>
      </c>
    </row>
    <row r="119" spans="1:15" s="150" customFormat="1" ht="127.5">
      <c r="A119" s="102">
        <v>4.03</v>
      </c>
      <c r="B119" s="71" t="s">
        <v>293</v>
      </c>
      <c r="C119" s="179"/>
      <c r="D119" s="179"/>
      <c r="E119" s="179"/>
      <c r="F119" s="179"/>
      <c r="G119" s="171"/>
      <c r="H119" s="183"/>
      <c r="I119" s="183"/>
      <c r="N119" s="89"/>
      <c r="O119" s="89"/>
    </row>
    <row r="120" spans="1:15" ht="12.75">
      <c r="A120" s="70"/>
      <c r="B120" s="71"/>
      <c r="C120" s="74" t="s">
        <v>45</v>
      </c>
      <c r="D120" s="104">
        <f>192.3</f>
        <v>192.3</v>
      </c>
      <c r="E120" s="69"/>
      <c r="F120" s="82">
        <f>D120*E120</f>
        <v>0</v>
      </c>
      <c r="G120" s="171">
        <v>15</v>
      </c>
      <c r="H120" s="41"/>
      <c r="I120" s="41"/>
      <c r="N120" s="89">
        <f>E120*1.2</f>
        <v>0</v>
      </c>
      <c r="O120" s="89">
        <f>N120*D120</f>
        <v>0</v>
      </c>
    </row>
    <row r="121" spans="1:15" s="150" customFormat="1" ht="102">
      <c r="A121" s="184">
        <v>4.04</v>
      </c>
      <c r="B121" s="71" t="s">
        <v>294</v>
      </c>
      <c r="C121" s="179"/>
      <c r="D121" s="179"/>
      <c r="E121" s="177"/>
      <c r="H121" s="178"/>
      <c r="I121" s="149"/>
      <c r="N121" s="89"/>
      <c r="O121" s="89"/>
    </row>
    <row r="122" spans="1:15" ht="12.75">
      <c r="A122" s="8"/>
      <c r="B122" s="85"/>
      <c r="C122" s="74" t="s">
        <v>57</v>
      </c>
      <c r="D122" s="104">
        <f>(4.85+5.85*2+2.8*2+4)*0.4*0.4</f>
        <v>4.184</v>
      </c>
      <c r="E122" s="69"/>
      <c r="F122" s="82">
        <f>D122*E122</f>
        <v>0</v>
      </c>
      <c r="G122" s="171">
        <v>160</v>
      </c>
      <c r="H122" s="97"/>
      <c r="I122" s="39"/>
      <c r="N122" s="89">
        <f>E122*1.2</f>
        <v>0</v>
      </c>
      <c r="O122" s="89">
        <f>N122*D122</f>
        <v>0</v>
      </c>
    </row>
    <row r="123" spans="1:15" ht="76.5">
      <c r="A123" s="102">
        <v>4.05</v>
      </c>
      <c r="B123" s="71" t="s">
        <v>80</v>
      </c>
      <c r="C123" s="172"/>
      <c r="D123" s="102"/>
      <c r="E123" s="173"/>
      <c r="F123" s="173"/>
      <c r="G123" s="171"/>
      <c r="H123" s="99"/>
      <c r="I123" s="72"/>
      <c r="N123" s="89"/>
      <c r="O123" s="89"/>
    </row>
    <row r="124" spans="1:15" ht="15">
      <c r="A124" s="102"/>
      <c r="B124" s="73"/>
      <c r="C124" s="74" t="s">
        <v>45</v>
      </c>
      <c r="D124" s="104">
        <f>43.86+(0.4*0.4*2)*(3.25+3.65+4.15)</f>
        <v>47.396</v>
      </c>
      <c r="E124" s="69"/>
      <c r="F124" s="82">
        <f>D124*E124</f>
        <v>0</v>
      </c>
      <c r="G124" s="171">
        <v>160</v>
      </c>
      <c r="H124" s="99"/>
      <c r="I124" s="72"/>
      <c r="N124" s="89">
        <f>E124*1.2</f>
        <v>0</v>
      </c>
      <c r="O124" s="89">
        <f>N124*D124</f>
        <v>0</v>
      </c>
    </row>
    <row r="125" spans="1:15" ht="15">
      <c r="A125" s="102"/>
      <c r="B125" s="73"/>
      <c r="C125" s="74"/>
      <c r="D125" s="104"/>
      <c r="E125" s="69"/>
      <c r="F125" s="82"/>
      <c r="G125" s="171"/>
      <c r="H125" s="99"/>
      <c r="I125" s="72"/>
      <c r="N125" s="89"/>
      <c r="O125" s="89"/>
    </row>
    <row r="126" spans="1:15" ht="127.5">
      <c r="A126" s="102">
        <v>4.06</v>
      </c>
      <c r="B126" s="71" t="s">
        <v>81</v>
      </c>
      <c r="C126" s="74"/>
      <c r="D126" s="104"/>
      <c r="E126" s="173"/>
      <c r="F126" s="173"/>
      <c r="G126" s="171"/>
      <c r="H126" s="1"/>
      <c r="I126" s="1"/>
      <c r="N126" s="89"/>
      <c r="O126" s="89"/>
    </row>
    <row r="127" spans="1:15" s="150" customFormat="1" ht="25.5">
      <c r="A127" s="81"/>
      <c r="B127" s="73" t="s">
        <v>318</v>
      </c>
      <c r="C127" s="74" t="s">
        <v>45</v>
      </c>
      <c r="D127" s="104">
        <f>196*3</f>
        <v>588</v>
      </c>
      <c r="E127" s="29"/>
      <c r="F127" s="29"/>
      <c r="H127" s="269"/>
      <c r="I127" s="269"/>
      <c r="N127" s="89"/>
      <c r="O127" s="89"/>
    </row>
    <row r="128" spans="1:15" ht="12.75">
      <c r="A128" s="102"/>
      <c r="B128" s="73" t="s">
        <v>82</v>
      </c>
      <c r="C128" s="74" t="s">
        <v>45</v>
      </c>
      <c r="D128" s="104">
        <f>2*4.2</f>
        <v>8.4</v>
      </c>
      <c r="E128" s="69"/>
      <c r="F128" s="82"/>
      <c r="G128" s="171"/>
      <c r="H128" s="1"/>
      <c r="I128" s="1"/>
      <c r="N128" s="89"/>
      <c r="O128" s="89"/>
    </row>
    <row r="129" spans="1:15" ht="12.75">
      <c r="A129" s="102"/>
      <c r="B129" s="73" t="s">
        <v>53</v>
      </c>
      <c r="C129" s="74"/>
      <c r="D129" s="104">
        <f>SUM(D127:D128)</f>
        <v>596.4</v>
      </c>
      <c r="E129" s="69"/>
      <c r="F129" s="82">
        <f>D129*E129</f>
        <v>0</v>
      </c>
      <c r="G129" s="171">
        <v>40</v>
      </c>
      <c r="H129" s="1"/>
      <c r="I129" s="1"/>
      <c r="N129" s="89">
        <f>E129*1.2</f>
        <v>0</v>
      </c>
      <c r="O129" s="89">
        <f>N129*D129</f>
        <v>0</v>
      </c>
    </row>
    <row r="130" spans="1:15" ht="12.75">
      <c r="A130" s="102"/>
      <c r="B130" s="73"/>
      <c r="C130" s="74"/>
      <c r="D130" s="104"/>
      <c r="E130" s="69"/>
      <c r="F130" s="82"/>
      <c r="G130" s="171"/>
      <c r="H130" s="1"/>
      <c r="I130" s="1"/>
      <c r="N130" s="89"/>
      <c r="O130" s="89"/>
    </row>
    <row r="131" spans="1:15" ht="114.75">
      <c r="A131" s="102">
        <v>4.07</v>
      </c>
      <c r="B131" s="71" t="s">
        <v>295</v>
      </c>
      <c r="C131" s="101"/>
      <c r="D131" s="102"/>
      <c r="E131" s="103"/>
      <c r="F131" s="104"/>
      <c r="G131" s="171"/>
      <c r="N131" s="89"/>
      <c r="O131" s="89"/>
    </row>
    <row r="132" spans="1:15" ht="12.75">
      <c r="A132" s="102"/>
      <c r="B132" s="71" t="s">
        <v>83</v>
      </c>
      <c r="C132" s="101" t="s">
        <v>57</v>
      </c>
      <c r="D132" s="102">
        <v>94.504</v>
      </c>
      <c r="E132" s="103"/>
      <c r="F132" s="104"/>
      <c r="G132" s="171"/>
      <c r="N132" s="89"/>
      <c r="O132" s="89"/>
    </row>
    <row r="133" spans="1:15" ht="12.75">
      <c r="A133" s="102"/>
      <c r="B133" s="71" t="s">
        <v>84</v>
      </c>
      <c r="C133" s="101" t="s">
        <v>57</v>
      </c>
      <c r="D133" s="102">
        <v>4.838</v>
      </c>
      <c r="E133" s="103"/>
      <c r="F133" s="104"/>
      <c r="G133" s="171"/>
      <c r="N133" s="89"/>
      <c r="O133" s="89"/>
    </row>
    <row r="134" spans="1:15" ht="12.75">
      <c r="A134" s="102"/>
      <c r="B134" s="71" t="s">
        <v>85</v>
      </c>
      <c r="C134" s="101" t="s">
        <v>57</v>
      </c>
      <c r="D134" s="102">
        <f>(2.8*0.3*0.35)*3+(6.4*0.3*0.35)*2</f>
        <v>2.226</v>
      </c>
      <c r="E134" s="103"/>
      <c r="F134" s="104"/>
      <c r="G134" s="171"/>
      <c r="N134" s="89"/>
      <c r="O134" s="89"/>
    </row>
    <row r="135" spans="1:15" ht="12.75">
      <c r="A135" s="102"/>
      <c r="B135" s="71" t="s">
        <v>86</v>
      </c>
      <c r="C135" s="101" t="s">
        <v>57</v>
      </c>
      <c r="D135" s="102">
        <v>0.848</v>
      </c>
      <c r="E135" s="103"/>
      <c r="F135" s="104"/>
      <c r="G135" s="171"/>
      <c r="N135" s="89"/>
      <c r="O135" s="89"/>
    </row>
    <row r="136" spans="1:15" ht="12.75">
      <c r="A136" s="102"/>
      <c r="B136" s="132" t="s">
        <v>53</v>
      </c>
      <c r="C136" s="101" t="s">
        <v>57</v>
      </c>
      <c r="D136" s="102">
        <f>SUM(D132:D135)</f>
        <v>102.416</v>
      </c>
      <c r="E136" s="69"/>
      <c r="F136" s="82">
        <f>D136*E136</f>
        <v>0</v>
      </c>
      <c r="G136" s="171">
        <v>160</v>
      </c>
      <c r="N136" s="89">
        <f>E136*1.2</f>
        <v>0</v>
      </c>
      <c r="O136" s="89">
        <f>N136*D136</f>
        <v>0</v>
      </c>
    </row>
    <row r="137" spans="1:15" ht="12.75">
      <c r="A137" s="102"/>
      <c r="B137" s="132"/>
      <c r="C137" s="101"/>
      <c r="D137" s="102"/>
      <c r="E137" s="69"/>
      <c r="F137" s="82"/>
      <c r="G137" s="171"/>
      <c r="N137" s="89"/>
      <c r="O137" s="89"/>
    </row>
    <row r="138" spans="1:15" ht="153">
      <c r="A138" s="102">
        <v>4.08</v>
      </c>
      <c r="B138" s="185" t="s">
        <v>296</v>
      </c>
      <c r="C138" s="74"/>
      <c r="D138" s="82"/>
      <c r="E138" s="186"/>
      <c r="F138" s="82"/>
      <c r="G138" s="171"/>
      <c r="N138" s="89"/>
      <c r="O138" s="89"/>
    </row>
    <row r="139" spans="1:15" ht="12.75">
      <c r="A139" s="70"/>
      <c r="B139" s="105"/>
      <c r="C139" s="74" t="s">
        <v>45</v>
      </c>
      <c r="D139" s="104">
        <f>(3.51+3.66)*1.4+4.5+3.49*1.5*2+3.68*1.5*2+4.5*2</f>
        <v>45.048</v>
      </c>
      <c r="E139" s="69"/>
      <c r="F139" s="82">
        <f>D139*E139</f>
        <v>0</v>
      </c>
      <c r="G139" s="171">
        <v>40</v>
      </c>
      <c r="N139" s="89">
        <f>E139*1.2</f>
        <v>0</v>
      </c>
      <c r="O139" s="89">
        <f>N139*D139</f>
        <v>0</v>
      </c>
    </row>
    <row r="140" spans="1:15" s="150" customFormat="1" ht="89.25">
      <c r="A140" s="102">
        <v>4.09</v>
      </c>
      <c r="B140" s="112" t="s">
        <v>297</v>
      </c>
      <c r="D140" s="177"/>
      <c r="E140" s="177"/>
      <c r="F140" s="179"/>
      <c r="N140" s="89"/>
      <c r="O140" s="89"/>
    </row>
    <row r="141" spans="1:15" s="150" customFormat="1" ht="12.75">
      <c r="A141" s="81"/>
      <c r="B141" s="112"/>
      <c r="C141" s="74" t="s">
        <v>57</v>
      </c>
      <c r="D141" s="104">
        <f>1.37*0.125+0.77*0.25+0.95*0.75</f>
        <v>1.07625</v>
      </c>
      <c r="E141" s="182"/>
      <c r="F141" s="82">
        <f>D141*E141</f>
        <v>0</v>
      </c>
      <c r="G141" s="171">
        <v>100</v>
      </c>
      <c r="N141" s="89">
        <f>E141*1.2</f>
        <v>0</v>
      </c>
      <c r="O141" s="89">
        <f>N141*D141</f>
        <v>0</v>
      </c>
    </row>
    <row r="142" spans="1:15" ht="127.5">
      <c r="A142" s="81">
        <v>4.1</v>
      </c>
      <c r="B142" s="112" t="s">
        <v>298</v>
      </c>
      <c r="C142" s="74"/>
      <c r="D142" s="104"/>
      <c r="E142" s="69"/>
      <c r="F142" s="82"/>
      <c r="G142" s="171"/>
      <c r="N142" s="89"/>
      <c r="O142" s="89"/>
    </row>
    <row r="143" spans="1:15" ht="12.75">
      <c r="A143" s="81"/>
      <c r="B143" s="112" t="s">
        <v>87</v>
      </c>
      <c r="C143" s="74" t="s">
        <v>57</v>
      </c>
      <c r="D143" s="104">
        <f>1.74*1.4</f>
        <v>2.436</v>
      </c>
      <c r="E143" s="69"/>
      <c r="F143" s="82">
        <f>D143*E143</f>
        <v>0</v>
      </c>
      <c r="G143" s="171">
        <v>135</v>
      </c>
      <c r="N143" s="89">
        <f>E143*1.2</f>
        <v>0</v>
      </c>
      <c r="O143" s="89">
        <f>N143*D143</f>
        <v>0</v>
      </c>
    </row>
    <row r="144" spans="1:15" s="145" customFormat="1" ht="89.25">
      <c r="A144" s="68">
        <v>4.11</v>
      </c>
      <c r="B144" s="170" t="s">
        <v>299</v>
      </c>
      <c r="C144" s="6"/>
      <c r="D144" s="7"/>
      <c r="E144" s="187"/>
      <c r="F144" s="7"/>
      <c r="G144" s="26"/>
      <c r="H144" s="144"/>
      <c r="I144" s="144"/>
      <c r="N144" s="89"/>
      <c r="O144" s="89"/>
    </row>
    <row r="145" spans="1:15" ht="12.75">
      <c r="A145" s="102"/>
      <c r="B145" s="132"/>
      <c r="C145" s="101" t="s">
        <v>57</v>
      </c>
      <c r="D145" s="102">
        <f>(0.2+0.12)*(18.74*2+14.6*2)</f>
        <v>21.3376</v>
      </c>
      <c r="E145" s="69"/>
      <c r="F145" s="82">
        <f>D145*E145</f>
        <v>0</v>
      </c>
      <c r="G145" s="171">
        <v>160</v>
      </c>
      <c r="N145" s="89">
        <f>E145*1.2</f>
        <v>0</v>
      </c>
      <c r="O145" s="89">
        <f>N145*D145</f>
        <v>0</v>
      </c>
    </row>
    <row r="146" spans="1:15" ht="102">
      <c r="A146" s="81">
        <v>4.12</v>
      </c>
      <c r="B146" s="105" t="s">
        <v>319</v>
      </c>
      <c r="C146" s="74"/>
      <c r="D146" s="104"/>
      <c r="E146" s="69"/>
      <c r="F146" s="82"/>
      <c r="G146" s="171"/>
      <c r="H146" s="32"/>
      <c r="I146" s="26"/>
      <c r="N146" s="89"/>
      <c r="O146" s="89"/>
    </row>
    <row r="147" spans="1:15" ht="12.75">
      <c r="A147" s="102"/>
      <c r="B147" s="105" t="s">
        <v>88</v>
      </c>
      <c r="C147" s="74" t="s">
        <v>71</v>
      </c>
      <c r="D147" s="104">
        <v>1.71</v>
      </c>
      <c r="E147" s="69"/>
      <c r="F147" s="82"/>
      <c r="G147" s="171"/>
      <c r="H147" s="32"/>
      <c r="I147" s="26"/>
      <c r="N147" s="89"/>
      <c r="O147" s="89"/>
    </row>
    <row r="148" spans="1:15" ht="12.75">
      <c r="A148" s="102"/>
      <c r="B148" s="105" t="s">
        <v>89</v>
      </c>
      <c r="C148" s="74"/>
      <c r="D148" s="177"/>
      <c r="E148" s="125"/>
      <c r="F148" s="38"/>
      <c r="H148" s="32"/>
      <c r="I148" s="26"/>
      <c r="N148" s="89"/>
      <c r="O148" s="89"/>
    </row>
    <row r="149" spans="1:15" ht="12.75">
      <c r="A149" s="81"/>
      <c r="B149" s="105" t="s">
        <v>67</v>
      </c>
      <c r="C149" s="74" t="s">
        <v>71</v>
      </c>
      <c r="D149" s="104">
        <f>0.91*4+1.02*2+2.9+0.81</f>
        <v>9.39</v>
      </c>
      <c r="E149" s="69"/>
      <c r="F149" s="82"/>
      <c r="G149" s="171"/>
      <c r="H149" s="32"/>
      <c r="I149" s="26"/>
      <c r="N149" s="89"/>
      <c r="O149" s="89"/>
    </row>
    <row r="150" spans="1:15" ht="12.75">
      <c r="A150" s="81"/>
      <c r="B150" s="105" t="s">
        <v>192</v>
      </c>
      <c r="C150" s="74" t="s">
        <v>71</v>
      </c>
      <c r="D150" s="104">
        <v>0.91</v>
      </c>
      <c r="E150" s="69"/>
      <c r="F150" s="188"/>
      <c r="G150" s="171"/>
      <c r="H150" s="32"/>
      <c r="I150" s="26"/>
      <c r="N150" s="89"/>
      <c r="O150" s="89"/>
    </row>
    <row r="151" spans="1:15" ht="12.75">
      <c r="A151" s="81"/>
      <c r="B151" s="129" t="s">
        <v>53</v>
      </c>
      <c r="C151" s="74" t="s">
        <v>71</v>
      </c>
      <c r="D151" s="104">
        <f>SUM(D147:D150)</f>
        <v>12.010000000000002</v>
      </c>
      <c r="E151" s="69"/>
      <c r="F151" s="82">
        <f>D151*E151</f>
        <v>0</v>
      </c>
      <c r="G151" s="171">
        <v>8</v>
      </c>
      <c r="H151" s="32"/>
      <c r="I151" s="26"/>
      <c r="N151" s="89">
        <f>E151*1.2</f>
        <v>0</v>
      </c>
      <c r="O151" s="89">
        <f>N151*D151</f>
        <v>0</v>
      </c>
    </row>
    <row r="152" spans="1:15" ht="89.25">
      <c r="A152" s="81">
        <v>4.13</v>
      </c>
      <c r="B152" s="105" t="s">
        <v>90</v>
      </c>
      <c r="C152" s="74"/>
      <c r="D152" s="102"/>
      <c r="E152" s="182"/>
      <c r="F152" s="82"/>
      <c r="G152" s="26"/>
      <c r="H152" s="32"/>
      <c r="I152" s="26"/>
      <c r="N152" s="89"/>
      <c r="O152" s="89"/>
    </row>
    <row r="153" spans="1:15" ht="12.75">
      <c r="A153" s="102"/>
      <c r="B153" s="105" t="s">
        <v>91</v>
      </c>
      <c r="C153" s="74" t="s">
        <v>71</v>
      </c>
      <c r="D153" s="130"/>
      <c r="E153" s="130"/>
      <c r="F153" s="38"/>
      <c r="H153" s="32"/>
      <c r="I153" s="26"/>
      <c r="N153" s="89"/>
      <c r="O153" s="89"/>
    </row>
    <row r="154" spans="1:15" ht="12.75">
      <c r="A154" s="102"/>
      <c r="B154" s="105" t="s">
        <v>67</v>
      </c>
      <c r="C154" s="74" t="s">
        <v>71</v>
      </c>
      <c r="D154" s="125">
        <f>1.4*2+1.35+2+1.8*3+1.4+1.8+2+2+1.4*2+3*0.6+2*1.4</f>
        <v>26.150000000000002</v>
      </c>
      <c r="E154" s="125"/>
      <c r="F154" s="124"/>
      <c r="H154" s="32"/>
      <c r="I154" s="26"/>
      <c r="N154" s="89"/>
      <c r="O154" s="89"/>
    </row>
    <row r="155" spans="1:15" ht="12.75">
      <c r="A155" s="102"/>
      <c r="B155" s="105" t="s">
        <v>177</v>
      </c>
      <c r="C155" s="74" t="s">
        <v>71</v>
      </c>
      <c r="D155" s="125">
        <f>4*1.8+7*1.4+4*2+3*0.6+1.35</f>
        <v>28.150000000000002</v>
      </c>
      <c r="E155" s="125"/>
      <c r="F155" s="124"/>
      <c r="H155" s="32"/>
      <c r="I155" s="26"/>
      <c r="N155" s="89"/>
      <c r="O155" s="89"/>
    </row>
    <row r="156" spans="1:15" ht="12.75">
      <c r="A156" s="102"/>
      <c r="B156" s="105" t="s">
        <v>178</v>
      </c>
      <c r="C156" s="74" t="s">
        <v>71</v>
      </c>
      <c r="D156" s="125">
        <f>4*1.8+8*1.4+2*1.35+4*2+3*0.6</f>
        <v>30.9</v>
      </c>
      <c r="E156" s="125"/>
      <c r="F156" s="124"/>
      <c r="H156" s="32"/>
      <c r="I156" s="26"/>
      <c r="N156" s="89"/>
      <c r="O156" s="89"/>
    </row>
    <row r="157" spans="1:15" ht="12.75">
      <c r="A157" s="102"/>
      <c r="B157" s="105" t="s">
        <v>92</v>
      </c>
      <c r="C157" s="74" t="s">
        <v>71</v>
      </c>
      <c r="D157" s="125">
        <f>1.62+1.88+0.62+0.55+0.77</f>
        <v>5.4399999999999995</v>
      </c>
      <c r="E157" s="125"/>
      <c r="F157" s="124"/>
      <c r="H157" s="32"/>
      <c r="I157" s="26"/>
      <c r="N157" s="89"/>
      <c r="O157" s="89"/>
    </row>
    <row r="158" spans="1:15" ht="12.75">
      <c r="A158" s="102"/>
      <c r="B158" s="129" t="s">
        <v>53</v>
      </c>
      <c r="C158" s="74" t="s">
        <v>71</v>
      </c>
      <c r="D158" s="104">
        <f>SUM(D154:D157)</f>
        <v>90.64</v>
      </c>
      <c r="E158" s="69"/>
      <c r="F158" s="82">
        <f>E158*D158</f>
        <v>0</v>
      </c>
      <c r="G158" s="26">
        <v>10</v>
      </c>
      <c r="H158" s="32"/>
      <c r="I158" s="26"/>
      <c r="N158" s="89">
        <f>E158*1.2</f>
        <v>0</v>
      </c>
      <c r="O158" s="89">
        <f>N158*D158</f>
        <v>0</v>
      </c>
    </row>
    <row r="159" spans="1:15" ht="114.75">
      <c r="A159" s="70">
        <v>4.14</v>
      </c>
      <c r="B159" s="170" t="s">
        <v>300</v>
      </c>
      <c r="C159" s="74"/>
      <c r="D159" s="189"/>
      <c r="E159" s="182"/>
      <c r="F159" s="82"/>
      <c r="G159" s="26"/>
      <c r="H159" s="39"/>
      <c r="I159" s="39"/>
      <c r="N159" s="89"/>
      <c r="O159" s="89"/>
    </row>
    <row r="160" spans="1:15" ht="15">
      <c r="A160" s="8"/>
      <c r="B160" s="87" t="s">
        <v>93</v>
      </c>
      <c r="C160" s="6" t="s">
        <v>45</v>
      </c>
      <c r="D160" s="7">
        <f>183.89</f>
        <v>183.89</v>
      </c>
      <c r="E160" s="125"/>
      <c r="F160" s="38"/>
      <c r="H160" s="72"/>
      <c r="I160" s="72"/>
      <c r="N160" s="89"/>
      <c r="O160" s="89"/>
    </row>
    <row r="161" spans="1:15" ht="15">
      <c r="A161" s="67"/>
      <c r="B161" s="87" t="s">
        <v>177</v>
      </c>
      <c r="C161" s="6" t="s">
        <v>45</v>
      </c>
      <c r="D161" s="7">
        <f>205.34-14.75</f>
        <v>190.59</v>
      </c>
      <c r="E161" s="69"/>
      <c r="F161" s="7"/>
      <c r="G161" s="26"/>
      <c r="H161" s="72"/>
      <c r="I161" s="72"/>
      <c r="N161" s="89"/>
      <c r="O161" s="89"/>
    </row>
    <row r="162" spans="1:15" ht="15">
      <c r="A162" s="8"/>
      <c r="B162" s="87" t="s">
        <v>178</v>
      </c>
      <c r="C162" s="6" t="s">
        <v>45</v>
      </c>
      <c r="D162" s="7">
        <f>201.82-14.75</f>
        <v>187.07</v>
      </c>
      <c r="E162" s="69"/>
      <c r="F162" s="7"/>
      <c r="G162" s="26"/>
      <c r="H162" s="72"/>
      <c r="I162" s="72"/>
      <c r="N162" s="89"/>
      <c r="O162" s="89"/>
    </row>
    <row r="163" spans="1:15" ht="15">
      <c r="A163" s="49"/>
      <c r="B163" s="90" t="s">
        <v>53</v>
      </c>
      <c r="C163" s="6" t="s">
        <v>45</v>
      </c>
      <c r="D163" s="7">
        <f>SUM(D160:D162)</f>
        <v>561.55</v>
      </c>
      <c r="E163" s="69"/>
      <c r="F163" s="7">
        <f>D163*E163</f>
        <v>0</v>
      </c>
      <c r="G163" s="26">
        <v>13</v>
      </c>
      <c r="H163" s="72"/>
      <c r="I163" s="72"/>
      <c r="N163" s="89">
        <f>E163*1.2</f>
        <v>0</v>
      </c>
      <c r="O163" s="89">
        <f>N163*D163</f>
        <v>0</v>
      </c>
    </row>
    <row r="164" spans="1:15" s="150" customFormat="1" ht="76.5">
      <c r="A164" s="81">
        <v>4.15</v>
      </c>
      <c r="B164" s="71" t="s">
        <v>261</v>
      </c>
      <c r="C164" s="74"/>
      <c r="D164" s="82"/>
      <c r="E164" s="182"/>
      <c r="F164" s="82"/>
      <c r="G164" s="267"/>
      <c r="H164" s="270"/>
      <c r="I164" s="270"/>
      <c r="N164" s="89"/>
      <c r="O164" s="89"/>
    </row>
    <row r="165" spans="1:15" s="150" customFormat="1" ht="15">
      <c r="A165" s="81"/>
      <c r="B165" s="71"/>
      <c r="C165" s="74" t="s">
        <v>57</v>
      </c>
      <c r="D165" s="82">
        <f>(0.15*0.19)*(17.54+12+6.87+0.8+2.5+2.2+8.19+13.4)</f>
        <v>1.8097499999999997</v>
      </c>
      <c r="E165" s="182"/>
      <c r="F165" s="7">
        <f>D165*E165</f>
        <v>0</v>
      </c>
      <c r="G165" s="267">
        <v>95</v>
      </c>
      <c r="H165" s="270"/>
      <c r="I165" s="270"/>
      <c r="N165" s="89">
        <f>E165*1.2</f>
        <v>0</v>
      </c>
      <c r="O165" s="89">
        <f>N165*D165</f>
        <v>0</v>
      </c>
    </row>
    <row r="166" spans="1:15" ht="114.75">
      <c r="A166" s="81">
        <v>4.16</v>
      </c>
      <c r="B166" s="170" t="s">
        <v>95</v>
      </c>
      <c r="C166" s="74"/>
      <c r="D166" s="189"/>
      <c r="E166" s="182"/>
      <c r="F166" s="82"/>
      <c r="G166" s="51"/>
      <c r="H166" s="72"/>
      <c r="I166" s="72"/>
      <c r="N166" s="89"/>
      <c r="O166" s="89"/>
    </row>
    <row r="167" spans="1:15" ht="15">
      <c r="A167" s="8"/>
      <c r="B167" s="93"/>
      <c r="C167" s="6" t="s">
        <v>45</v>
      </c>
      <c r="D167" s="7">
        <f>12*0.3*6</f>
        <v>21.599999999999998</v>
      </c>
      <c r="E167" s="69"/>
      <c r="F167" s="7">
        <f>D167*E167</f>
        <v>0</v>
      </c>
      <c r="G167" s="26">
        <v>13</v>
      </c>
      <c r="H167" s="72"/>
      <c r="I167" s="72"/>
      <c r="N167" s="89">
        <f>E167*1.2</f>
        <v>0</v>
      </c>
      <c r="O167" s="89">
        <f>N167*D167</f>
        <v>0</v>
      </c>
    </row>
    <row r="168" spans="1:15" s="39" customFormat="1" ht="127.5">
      <c r="A168" s="8">
        <v>4.17</v>
      </c>
      <c r="B168" s="170" t="s">
        <v>201</v>
      </c>
      <c r="C168" s="134"/>
      <c r="D168" s="7"/>
      <c r="E168" s="69"/>
      <c r="F168" s="7"/>
      <c r="G168" s="26"/>
      <c r="H168" s="72"/>
      <c r="I168" s="72"/>
      <c r="N168" s="89"/>
      <c r="O168" s="89"/>
    </row>
    <row r="169" spans="1:15" s="39" customFormat="1" ht="15">
      <c r="A169" s="113"/>
      <c r="B169" s="190"/>
      <c r="C169" s="6" t="s">
        <v>45</v>
      </c>
      <c r="D169" s="7">
        <f>192.8</f>
        <v>192.8</v>
      </c>
      <c r="E169" s="69"/>
      <c r="F169" s="7">
        <f>D169*E169</f>
        <v>0</v>
      </c>
      <c r="G169" s="26">
        <v>13</v>
      </c>
      <c r="H169" s="72"/>
      <c r="I169" s="72"/>
      <c r="N169" s="89">
        <f>E169*1.2</f>
        <v>0</v>
      </c>
      <c r="O169" s="89">
        <f>N169*D169</f>
        <v>0</v>
      </c>
    </row>
    <row r="170" spans="1:15" s="145" customFormat="1" ht="63.75">
      <c r="A170" s="8">
        <v>4.18</v>
      </c>
      <c r="B170" s="190" t="s">
        <v>274</v>
      </c>
      <c r="C170" s="158" t="s">
        <v>57</v>
      </c>
      <c r="D170" s="159">
        <f>0.14*9</f>
        <v>1.2600000000000002</v>
      </c>
      <c r="E170" s="160"/>
      <c r="F170" s="159">
        <f>D170*E170</f>
        <v>0</v>
      </c>
      <c r="G170" s="161">
        <v>135</v>
      </c>
      <c r="H170" s="144"/>
      <c r="I170" s="144"/>
      <c r="N170" s="89">
        <f>E170*1.2</f>
        <v>0</v>
      </c>
      <c r="O170" s="89">
        <f>N170*D170</f>
        <v>0</v>
      </c>
    </row>
    <row r="171" spans="1:15" ht="15.75">
      <c r="A171" s="659">
        <v>4</v>
      </c>
      <c r="B171" s="622" t="s">
        <v>22</v>
      </c>
      <c r="C171" s="623"/>
      <c r="D171" s="660"/>
      <c r="E171" s="661" t="s">
        <v>157</v>
      </c>
      <c r="F171" s="612">
        <f>SUM(F112:F170)</f>
        <v>0</v>
      </c>
      <c r="G171" s="613"/>
      <c r="H171" s="662"/>
      <c r="I171" s="609"/>
      <c r="J171" s="609"/>
      <c r="K171" s="609"/>
      <c r="L171" s="609"/>
      <c r="M171" s="609"/>
      <c r="N171" s="615"/>
      <c r="O171" s="616">
        <f>SUM(O112:O170)</f>
        <v>0</v>
      </c>
    </row>
    <row r="172" spans="1:15" ht="12.75">
      <c r="A172" s="38"/>
      <c r="B172" s="38"/>
      <c r="C172" s="38"/>
      <c r="D172" s="38"/>
      <c r="E172" s="38"/>
      <c r="F172" s="38"/>
      <c r="G172" s="26"/>
      <c r="H172" s="100"/>
      <c r="N172" s="89"/>
      <c r="O172" s="89"/>
    </row>
    <row r="173" spans="1:15" ht="15.75">
      <c r="A173" s="621">
        <v>5</v>
      </c>
      <c r="B173" s="622" t="s">
        <v>23</v>
      </c>
      <c r="C173" s="623"/>
      <c r="D173" s="624"/>
      <c r="E173" s="625"/>
      <c r="F173" s="663"/>
      <c r="G173" s="613"/>
      <c r="H173" s="662"/>
      <c r="I173" s="609"/>
      <c r="J173" s="609"/>
      <c r="K173" s="609"/>
      <c r="L173" s="609"/>
      <c r="M173" s="609"/>
      <c r="N173" s="615"/>
      <c r="O173" s="615"/>
    </row>
    <row r="174" spans="1:23" s="165" customFormat="1" ht="25.5">
      <c r="A174" s="630" t="s">
        <v>38</v>
      </c>
      <c r="B174" s="629" t="s">
        <v>39</v>
      </c>
      <c r="C174" s="628" t="s">
        <v>40</v>
      </c>
      <c r="D174" s="628" t="s">
        <v>41</v>
      </c>
      <c r="E174" s="599" t="s">
        <v>1261</v>
      </c>
      <c r="F174" s="599" t="s">
        <v>1262</v>
      </c>
      <c r="G174" s="600"/>
      <c r="H174" s="601"/>
      <c r="I174" s="601"/>
      <c r="J174" s="146"/>
      <c r="K174" s="146"/>
      <c r="L174" s="601"/>
      <c r="M174" s="146"/>
      <c r="N174" s="631" t="s">
        <v>1264</v>
      </c>
      <c r="O174" s="631" t="s">
        <v>1263</v>
      </c>
      <c r="Q174" s="38"/>
      <c r="R174" s="38"/>
      <c r="S174" s="38"/>
      <c r="U174" s="38"/>
      <c r="V174" s="38"/>
      <c r="W174" s="38"/>
    </row>
    <row r="175" spans="1:23" s="165" customFormat="1" ht="127.5">
      <c r="A175" s="191">
        <v>5.01</v>
      </c>
      <c r="B175" s="63" t="s">
        <v>203</v>
      </c>
      <c r="C175" s="192"/>
      <c r="D175" s="192"/>
      <c r="E175" s="192"/>
      <c r="F175" s="192"/>
      <c r="G175" s="26"/>
      <c r="H175" s="274"/>
      <c r="J175" s="38"/>
      <c r="K175" s="38"/>
      <c r="M175" s="38"/>
      <c r="N175" s="89"/>
      <c r="O175" s="89"/>
      <c r="Q175" s="38"/>
      <c r="R175" s="38"/>
      <c r="S175" s="38"/>
      <c r="U175" s="38"/>
      <c r="V175" s="38"/>
      <c r="W175" s="38"/>
    </row>
    <row r="176" spans="1:23" s="165" customFormat="1" ht="12.75">
      <c r="A176" s="63"/>
      <c r="B176" s="63" t="s">
        <v>207</v>
      </c>
      <c r="C176" s="192" t="s">
        <v>208</v>
      </c>
      <c r="D176" s="192">
        <v>2110</v>
      </c>
      <c r="E176" s="192"/>
      <c r="F176" s="192"/>
      <c r="G176" s="26"/>
      <c r="H176" s="274"/>
      <c r="J176" s="38"/>
      <c r="K176" s="38"/>
      <c r="M176" s="38"/>
      <c r="N176" s="89"/>
      <c r="O176" s="89"/>
      <c r="Q176" s="38"/>
      <c r="R176" s="38"/>
      <c r="S176" s="38"/>
      <c r="U176" s="38"/>
      <c r="V176" s="38"/>
      <c r="W176" s="38"/>
    </row>
    <row r="177" spans="1:23" s="165" customFormat="1" ht="12.75">
      <c r="A177" s="63"/>
      <c r="B177" s="63" t="s">
        <v>209</v>
      </c>
      <c r="C177" s="192" t="s">
        <v>208</v>
      </c>
      <c r="D177" s="192">
        <v>1380</v>
      </c>
      <c r="E177" s="192"/>
      <c r="F177" s="192"/>
      <c r="G177" s="26"/>
      <c r="H177" s="274"/>
      <c r="J177" s="38"/>
      <c r="K177" s="38"/>
      <c r="M177" s="38"/>
      <c r="N177" s="89"/>
      <c r="O177" s="89"/>
      <c r="Q177" s="38"/>
      <c r="R177" s="38"/>
      <c r="S177" s="38"/>
      <c r="U177" s="38"/>
      <c r="V177" s="38"/>
      <c r="W177" s="38"/>
    </row>
    <row r="178" spans="1:23" s="165" customFormat="1" ht="12.75">
      <c r="A178" s="63"/>
      <c r="B178" s="63" t="s">
        <v>210</v>
      </c>
      <c r="C178" s="192" t="s">
        <v>208</v>
      </c>
      <c r="D178" s="192">
        <v>10580</v>
      </c>
      <c r="E178" s="192"/>
      <c r="F178" s="193"/>
      <c r="G178" s="26"/>
      <c r="H178" s="274"/>
      <c r="J178" s="38"/>
      <c r="K178" s="38"/>
      <c r="M178" s="38"/>
      <c r="N178" s="89"/>
      <c r="O178" s="89"/>
      <c r="Q178" s="38"/>
      <c r="R178" s="38"/>
      <c r="S178" s="38"/>
      <c r="U178" s="38"/>
      <c r="V178" s="38"/>
      <c r="W178" s="38"/>
    </row>
    <row r="179" spans="1:23" s="165" customFormat="1" ht="12.75">
      <c r="A179" s="63"/>
      <c r="B179" s="63" t="s">
        <v>211</v>
      </c>
      <c r="C179" s="192" t="s">
        <v>208</v>
      </c>
      <c r="D179" s="192">
        <v>19240</v>
      </c>
      <c r="E179" s="192"/>
      <c r="F179" s="193"/>
      <c r="G179" s="26"/>
      <c r="H179" s="274"/>
      <c r="J179" s="38"/>
      <c r="K179" s="38"/>
      <c r="M179" s="38"/>
      <c r="N179" s="89"/>
      <c r="O179" s="89"/>
      <c r="Q179" s="38"/>
      <c r="R179" s="38"/>
      <c r="S179" s="38"/>
      <c r="U179" s="38"/>
      <c r="V179" s="38"/>
      <c r="W179" s="38"/>
    </row>
    <row r="180" spans="1:23" s="165" customFormat="1" ht="12.75">
      <c r="A180" s="63"/>
      <c r="B180" s="63" t="s">
        <v>212</v>
      </c>
      <c r="C180" s="192" t="s">
        <v>208</v>
      </c>
      <c r="D180" s="192">
        <v>1100</v>
      </c>
      <c r="E180" s="192"/>
      <c r="G180" s="26"/>
      <c r="H180" s="274"/>
      <c r="J180" s="38"/>
      <c r="K180" s="38"/>
      <c r="M180" s="38"/>
      <c r="N180" s="89"/>
      <c r="O180" s="89"/>
      <c r="Q180" s="38"/>
      <c r="R180" s="38"/>
      <c r="S180" s="38"/>
      <c r="U180" s="38"/>
      <c r="V180" s="38"/>
      <c r="W180" s="38"/>
    </row>
    <row r="181" spans="1:15" ht="12.75">
      <c r="A181" s="63"/>
      <c r="B181" s="192"/>
      <c r="C181" s="192" t="s">
        <v>208</v>
      </c>
      <c r="D181" s="192">
        <f>SUM(D176:D180)</f>
        <v>34410</v>
      </c>
      <c r="E181" s="69"/>
      <c r="F181" s="192">
        <f>D181*E181</f>
        <v>0</v>
      </c>
      <c r="G181" s="26">
        <v>1</v>
      </c>
      <c r="H181" s="100"/>
      <c r="N181" s="89">
        <f>E181*1.2</f>
        <v>0</v>
      </c>
      <c r="O181" s="89">
        <f>N181*D181</f>
        <v>0</v>
      </c>
    </row>
    <row r="182" spans="1:23" s="165" customFormat="1" ht="15.75">
      <c r="A182" s="659">
        <v>5</v>
      </c>
      <c r="B182" s="622" t="s">
        <v>23</v>
      </c>
      <c r="C182" s="623"/>
      <c r="D182" s="660"/>
      <c r="E182" s="661" t="s">
        <v>236</v>
      </c>
      <c r="F182" s="612">
        <f>SUM(F176:F181)</f>
        <v>0</v>
      </c>
      <c r="G182" s="613"/>
      <c r="H182" s="664"/>
      <c r="I182" s="665"/>
      <c r="J182" s="609"/>
      <c r="K182" s="609"/>
      <c r="L182" s="665"/>
      <c r="M182" s="609"/>
      <c r="N182" s="615"/>
      <c r="O182" s="616">
        <f>SUM(O176:O181)</f>
        <v>0</v>
      </c>
      <c r="Q182" s="38"/>
      <c r="R182" s="38"/>
      <c r="S182" s="38"/>
      <c r="U182" s="38"/>
      <c r="V182" s="38"/>
      <c r="W182" s="38"/>
    </row>
    <row r="183" spans="7:23" s="165" customFormat="1" ht="12.75">
      <c r="G183" s="26"/>
      <c r="H183" s="274"/>
      <c r="J183" s="38"/>
      <c r="K183" s="38"/>
      <c r="M183" s="38"/>
      <c r="N183" s="48"/>
      <c r="O183" s="48"/>
      <c r="Q183" s="38"/>
      <c r="R183" s="38"/>
      <c r="S183" s="38"/>
      <c r="U183" s="38"/>
      <c r="V183" s="38"/>
      <c r="W183" s="38"/>
    </row>
    <row r="184" spans="7:23" s="165" customFormat="1" ht="12.75">
      <c r="G184" s="26"/>
      <c r="H184" s="274"/>
      <c r="J184" s="38"/>
      <c r="K184" s="38"/>
      <c r="M184" s="38"/>
      <c r="N184" s="48"/>
      <c r="O184" s="48"/>
      <c r="Q184" s="38"/>
      <c r="R184" s="38"/>
      <c r="S184" s="38"/>
      <c r="U184" s="38"/>
      <c r="V184" s="38"/>
      <c r="W184" s="38"/>
    </row>
    <row r="185" spans="1:15" ht="15.75">
      <c r="A185" s="621">
        <v>6</v>
      </c>
      <c r="B185" s="666" t="s">
        <v>24</v>
      </c>
      <c r="C185" s="623"/>
      <c r="D185" s="667"/>
      <c r="E185" s="625"/>
      <c r="F185" s="626"/>
      <c r="G185" s="613"/>
      <c r="H185" s="662"/>
      <c r="I185" s="609"/>
      <c r="J185" s="609"/>
      <c r="K185" s="609"/>
      <c r="L185" s="609"/>
      <c r="M185" s="609"/>
      <c r="N185" s="615"/>
      <c r="O185" s="615"/>
    </row>
    <row r="186" spans="1:15" ht="25.5">
      <c r="A186" s="630" t="s">
        <v>38</v>
      </c>
      <c r="B186" s="629" t="s">
        <v>39</v>
      </c>
      <c r="C186" s="628" t="s">
        <v>40</v>
      </c>
      <c r="D186" s="628" t="s">
        <v>41</v>
      </c>
      <c r="E186" s="599" t="s">
        <v>1261</v>
      </c>
      <c r="F186" s="599" t="s">
        <v>1262</v>
      </c>
      <c r="G186" s="600"/>
      <c r="H186" s="601"/>
      <c r="I186" s="601"/>
      <c r="J186" s="146"/>
      <c r="K186" s="146"/>
      <c r="L186" s="601"/>
      <c r="M186" s="146"/>
      <c r="N186" s="631" t="s">
        <v>1264</v>
      </c>
      <c r="O186" s="631" t="s">
        <v>1263</v>
      </c>
    </row>
    <row r="187" spans="1:15" ht="30.75" customHeight="1">
      <c r="A187" s="75"/>
      <c r="B187" s="1213" t="s">
        <v>98</v>
      </c>
      <c r="C187" s="1213"/>
      <c r="D187" s="1213"/>
      <c r="E187" s="1213"/>
      <c r="F187" s="1102"/>
      <c r="G187" s="26"/>
      <c r="H187" s="100"/>
      <c r="N187" s="89"/>
      <c r="O187" s="89"/>
    </row>
    <row r="188" spans="1:15" ht="191.25" customHeight="1">
      <c r="A188" s="75"/>
      <c r="B188" s="1213" t="s">
        <v>99</v>
      </c>
      <c r="C188" s="1213"/>
      <c r="D188" s="1213"/>
      <c r="E188" s="1213"/>
      <c r="F188" s="1104"/>
      <c r="G188" s="26"/>
      <c r="H188" s="100"/>
      <c r="N188" s="89"/>
      <c r="O188" s="89"/>
    </row>
    <row r="189" spans="1:15" ht="114.75">
      <c r="A189" s="8">
        <v>6.01</v>
      </c>
      <c r="B189" s="147" t="s">
        <v>100</v>
      </c>
      <c r="C189" s="6"/>
      <c r="D189" s="77"/>
      <c r="E189" s="69"/>
      <c r="F189" s="7"/>
      <c r="G189" s="26"/>
      <c r="H189" s="100"/>
      <c r="N189" s="89"/>
      <c r="O189" s="89"/>
    </row>
    <row r="190" spans="1:15" ht="12.75">
      <c r="A190" s="74"/>
      <c r="B190" s="104"/>
      <c r="C190" s="74" t="s">
        <v>45</v>
      </c>
      <c r="D190" s="104">
        <f>(14.6*18.74)</f>
        <v>273.604</v>
      </c>
      <c r="E190" s="69"/>
      <c r="F190" s="82">
        <f>D190*E190</f>
        <v>0</v>
      </c>
      <c r="G190" s="26">
        <v>20</v>
      </c>
      <c r="H190" s="100"/>
      <c r="N190" s="89">
        <f>E190*1.2</f>
        <v>0</v>
      </c>
      <c r="O190" s="89">
        <f>N190*D190</f>
        <v>0</v>
      </c>
    </row>
    <row r="191" spans="1:15" ht="51">
      <c r="A191" s="8">
        <v>6.02</v>
      </c>
      <c r="B191" s="85" t="s">
        <v>302</v>
      </c>
      <c r="C191" s="6"/>
      <c r="D191" s="7"/>
      <c r="E191" s="69"/>
      <c r="F191" s="7"/>
      <c r="N191" s="89"/>
      <c r="O191" s="89"/>
    </row>
    <row r="192" spans="1:15" ht="12.75">
      <c r="A192" s="8"/>
      <c r="B192" s="168"/>
      <c r="C192" s="6" t="s">
        <v>301</v>
      </c>
      <c r="D192" s="104">
        <f>(14.6*18.74)/0.920504853</f>
        <v>297.2325448456924</v>
      </c>
      <c r="E192" s="69"/>
      <c r="F192" s="7">
        <f>D192*E192</f>
        <v>0</v>
      </c>
      <c r="N192" s="89">
        <f>E192*1.2</f>
        <v>0</v>
      </c>
      <c r="O192" s="89">
        <f>N192*D192</f>
        <v>0</v>
      </c>
    </row>
    <row r="193" spans="1:15" ht="76.5">
      <c r="A193" s="8">
        <v>6.03</v>
      </c>
      <c r="B193" s="168" t="s">
        <v>303</v>
      </c>
      <c r="C193" s="6" t="s">
        <v>301</v>
      </c>
      <c r="D193" s="104">
        <f>(14.6*18.74)/0.920504853</f>
        <v>297.2325448456924</v>
      </c>
      <c r="E193" s="69"/>
      <c r="F193" s="7">
        <f>D193*E193</f>
        <v>0</v>
      </c>
      <c r="G193" s="39"/>
      <c r="H193" s="39"/>
      <c r="I193" s="39"/>
      <c r="N193" s="89">
        <f>E193*1.2</f>
        <v>0</v>
      </c>
      <c r="O193" s="89">
        <f>N193*D193</f>
        <v>0</v>
      </c>
    </row>
    <row r="194" spans="1:15" ht="89.25">
      <c r="A194" s="8">
        <v>6.04</v>
      </c>
      <c r="B194" s="85" t="s">
        <v>304</v>
      </c>
      <c r="C194" s="6" t="s">
        <v>301</v>
      </c>
      <c r="D194" s="104">
        <f>(14.6*18.74)/0.920504853</f>
        <v>297.2325448456924</v>
      </c>
      <c r="E194" s="69"/>
      <c r="F194" s="7">
        <f>D194*E194</f>
        <v>0</v>
      </c>
      <c r="G194" s="39"/>
      <c r="H194" s="39"/>
      <c r="I194" s="39"/>
      <c r="N194" s="89">
        <f>E194*1.2</f>
        <v>0</v>
      </c>
      <c r="O194" s="89">
        <f>N194*D194</f>
        <v>0</v>
      </c>
    </row>
    <row r="195" spans="2:23" s="165" customFormat="1" ht="12.75">
      <c r="B195" s="165" t="s">
        <v>179</v>
      </c>
      <c r="G195" s="26"/>
      <c r="H195" s="274"/>
      <c r="J195" s="38"/>
      <c r="K195" s="38"/>
      <c r="M195" s="38"/>
      <c r="N195" s="89"/>
      <c r="O195" s="89"/>
      <c r="Q195" s="38"/>
      <c r="R195" s="38"/>
      <c r="S195" s="38"/>
      <c r="U195" s="38"/>
      <c r="V195" s="38"/>
      <c r="W195" s="38"/>
    </row>
    <row r="196" spans="1:23" s="165" customFormat="1" ht="15.75">
      <c r="A196" s="610">
        <v>6</v>
      </c>
      <c r="B196" s="622" t="s">
        <v>24</v>
      </c>
      <c r="C196" s="623"/>
      <c r="D196" s="660"/>
      <c r="E196" s="661" t="s">
        <v>237</v>
      </c>
      <c r="F196" s="612">
        <f>SUM(F189:F194)</f>
        <v>0</v>
      </c>
      <c r="G196" s="613"/>
      <c r="H196" s="664"/>
      <c r="I196" s="665"/>
      <c r="J196" s="609"/>
      <c r="K196" s="609"/>
      <c r="L196" s="665"/>
      <c r="M196" s="609"/>
      <c r="N196" s="615"/>
      <c r="O196" s="616">
        <f>SUM(O189:O194)</f>
        <v>0</v>
      </c>
      <c r="Q196" s="38"/>
      <c r="R196" s="38"/>
      <c r="S196" s="38"/>
      <c r="U196" s="38"/>
      <c r="V196" s="38"/>
      <c r="W196" s="38"/>
    </row>
    <row r="197" spans="14:15" s="165" customFormat="1" ht="12.75">
      <c r="N197" s="192"/>
      <c r="O197" s="192"/>
    </row>
    <row r="198" spans="1:15" ht="15.75">
      <c r="A198" s="621">
        <v>7</v>
      </c>
      <c r="B198" s="666" t="s">
        <v>25</v>
      </c>
      <c r="C198" s="623"/>
      <c r="D198" s="667"/>
      <c r="E198" s="625"/>
      <c r="F198" s="626"/>
      <c r="G198" s="613"/>
      <c r="H198" s="662"/>
      <c r="I198" s="609"/>
      <c r="J198" s="609"/>
      <c r="K198" s="609"/>
      <c r="L198" s="609"/>
      <c r="M198" s="609"/>
      <c r="N198" s="615"/>
      <c r="O198" s="615"/>
    </row>
    <row r="199" spans="1:15" ht="25.5">
      <c r="A199" s="630" t="s">
        <v>38</v>
      </c>
      <c r="B199" s="629" t="s">
        <v>39</v>
      </c>
      <c r="C199" s="628" t="s">
        <v>40</v>
      </c>
      <c r="D199" s="628" t="s">
        <v>41</v>
      </c>
      <c r="E199" s="599" t="s">
        <v>1261</v>
      </c>
      <c r="F199" s="599" t="s">
        <v>1262</v>
      </c>
      <c r="G199" s="600"/>
      <c r="H199" s="601"/>
      <c r="I199" s="601"/>
      <c r="J199" s="146"/>
      <c r="K199" s="146"/>
      <c r="L199" s="601"/>
      <c r="M199" s="146"/>
      <c r="N199" s="631" t="s">
        <v>1264</v>
      </c>
      <c r="O199" s="631" t="s">
        <v>1263</v>
      </c>
    </row>
    <row r="200" spans="1:15" ht="12.75">
      <c r="A200" s="194"/>
      <c r="B200" s="38"/>
      <c r="C200" s="215"/>
      <c r="D200" s="215"/>
      <c r="E200" s="215"/>
      <c r="F200" s="194"/>
      <c r="G200" s="26"/>
      <c r="N200" s="89"/>
      <c r="O200" s="89"/>
    </row>
    <row r="201" spans="1:15" ht="331.5">
      <c r="A201" s="283">
        <v>7.01</v>
      </c>
      <c r="B201" s="147" t="s">
        <v>259</v>
      </c>
      <c r="C201" s="195"/>
      <c r="D201" s="195"/>
      <c r="E201" s="195"/>
      <c r="F201" s="125"/>
      <c r="G201" s="26"/>
      <c r="N201" s="89"/>
      <c r="O201" s="89"/>
    </row>
    <row r="202" spans="1:15" ht="12.75">
      <c r="A202" s="78"/>
      <c r="B202" s="79"/>
      <c r="C202" s="74" t="s">
        <v>45</v>
      </c>
      <c r="D202" s="104">
        <f>(14.6*18.74)/0.920504853</f>
        <v>297.2325448456924</v>
      </c>
      <c r="E202" s="69"/>
      <c r="F202" s="82">
        <f>D202*E202</f>
        <v>0</v>
      </c>
      <c r="G202" s="26">
        <v>18</v>
      </c>
      <c r="H202" s="97"/>
      <c r="I202" s="39"/>
      <c r="N202" s="89">
        <f>E202*1.2</f>
        <v>0</v>
      </c>
      <c r="O202" s="89">
        <f>N202*D202</f>
        <v>0</v>
      </c>
    </row>
    <row r="203" spans="1:15" ht="318.75">
      <c r="A203" s="8">
        <v>7.02</v>
      </c>
      <c r="B203" s="147" t="s">
        <v>260</v>
      </c>
      <c r="C203" s="74" t="s">
        <v>71</v>
      </c>
      <c r="D203" s="104">
        <f>4*10.1+4.2</f>
        <v>44.6</v>
      </c>
      <c r="E203" s="69"/>
      <c r="F203" s="82">
        <f>D203*E203</f>
        <v>0</v>
      </c>
      <c r="G203" s="26">
        <v>19</v>
      </c>
      <c r="H203" s="97"/>
      <c r="I203" s="39"/>
      <c r="N203" s="89">
        <f>E203*1.2</f>
        <v>0</v>
      </c>
      <c r="O203" s="89">
        <f>N203*D203</f>
        <v>0</v>
      </c>
    </row>
    <row r="204" spans="1:15" ht="12.75">
      <c r="A204" s="8"/>
      <c r="B204" s="147"/>
      <c r="C204" s="196"/>
      <c r="D204" s="197"/>
      <c r="E204" s="187"/>
      <c r="F204" s="82"/>
      <c r="G204" s="26"/>
      <c r="H204" s="97"/>
      <c r="I204" s="39"/>
      <c r="N204" s="89"/>
      <c r="O204" s="89"/>
    </row>
    <row r="205" spans="1:15" ht="216.75">
      <c r="A205" s="8">
        <v>7.03</v>
      </c>
      <c r="B205" s="114" t="s">
        <v>264</v>
      </c>
      <c r="C205" s="196"/>
      <c r="D205" s="197"/>
      <c r="E205" s="187"/>
      <c r="F205" s="82"/>
      <c r="G205" s="26"/>
      <c r="H205" s="97"/>
      <c r="I205" s="39"/>
      <c r="N205" s="89"/>
      <c r="O205" s="89"/>
    </row>
    <row r="206" spans="1:15" ht="12.75">
      <c r="A206" s="8"/>
      <c r="B206" s="147" t="s">
        <v>262</v>
      </c>
      <c r="C206" s="74" t="s">
        <v>71</v>
      </c>
      <c r="D206" s="104">
        <f>2*14.6+2*18.74</f>
        <v>66.67999999999999</v>
      </c>
      <c r="E206" s="69"/>
      <c r="F206" s="82">
        <f>D206*E206</f>
        <v>0</v>
      </c>
      <c r="G206" s="26">
        <v>1</v>
      </c>
      <c r="H206" s="97"/>
      <c r="I206" s="39"/>
      <c r="N206" s="89">
        <f>E206*1.2</f>
        <v>0</v>
      </c>
      <c r="O206" s="89">
        <f>N206*D206</f>
        <v>0</v>
      </c>
    </row>
    <row r="207" spans="1:15" ht="12.75">
      <c r="A207" s="8"/>
      <c r="B207" s="147" t="s">
        <v>263</v>
      </c>
      <c r="C207" s="74" t="s">
        <v>47</v>
      </c>
      <c r="D207" s="104">
        <v>300</v>
      </c>
      <c r="E207" s="69"/>
      <c r="F207" s="82">
        <f>D207*E207</f>
        <v>0</v>
      </c>
      <c r="G207" s="26">
        <v>1</v>
      </c>
      <c r="H207" s="97"/>
      <c r="I207" s="39"/>
      <c r="N207" s="89">
        <f>E207*1.2</f>
        <v>0</v>
      </c>
      <c r="O207" s="89">
        <f>N207*D207</f>
        <v>0</v>
      </c>
    </row>
    <row r="208" spans="1:15" ht="12.75">
      <c r="A208" s="78"/>
      <c r="B208" s="114"/>
      <c r="C208" s="196"/>
      <c r="D208" s="197"/>
      <c r="E208" s="187"/>
      <c r="F208" s="82"/>
      <c r="G208" s="26"/>
      <c r="H208" s="97"/>
      <c r="I208" s="39"/>
      <c r="N208" s="89"/>
      <c r="O208" s="89"/>
    </row>
    <row r="209" spans="1:15" ht="15.75">
      <c r="A209" s="621">
        <v>7</v>
      </c>
      <c r="B209" s="666" t="s">
        <v>25</v>
      </c>
      <c r="C209" s="623"/>
      <c r="D209" s="667"/>
      <c r="E209" s="661" t="s">
        <v>238</v>
      </c>
      <c r="F209" s="612">
        <f>SUM(F201:F207)</f>
        <v>0</v>
      </c>
      <c r="G209" s="670"/>
      <c r="H209" s="671"/>
      <c r="I209" s="672"/>
      <c r="J209" s="672"/>
      <c r="K209" s="672"/>
      <c r="L209" s="672"/>
      <c r="M209" s="672"/>
      <c r="N209" s="615"/>
      <c r="O209" s="616">
        <f>SUM(O201:O207)</f>
        <v>0</v>
      </c>
    </row>
    <row r="210" spans="1:15" ht="12.75">
      <c r="A210" s="31"/>
      <c r="B210" s="668"/>
      <c r="C210" s="5"/>
      <c r="D210" s="669"/>
      <c r="E210" s="40"/>
      <c r="F210" s="188"/>
      <c r="G210" s="26"/>
      <c r="H210" s="97"/>
      <c r="I210" s="39"/>
      <c r="J210" s="39"/>
      <c r="K210" s="39"/>
      <c r="L210" s="39"/>
      <c r="M210" s="39"/>
      <c r="N210" s="48"/>
      <c r="O210" s="48"/>
    </row>
    <row r="211" spans="1:15" ht="12.75">
      <c r="A211" s="31"/>
      <c r="B211" s="668"/>
      <c r="C211" s="5"/>
      <c r="D211" s="669"/>
      <c r="E211" s="40"/>
      <c r="F211" s="188"/>
      <c r="G211" s="26"/>
      <c r="H211" s="97"/>
      <c r="I211" s="39"/>
      <c r="J211" s="39"/>
      <c r="K211" s="39"/>
      <c r="L211" s="39"/>
      <c r="M211" s="39"/>
      <c r="N211" s="48"/>
      <c r="O211" s="48"/>
    </row>
    <row r="212" spans="1:15" ht="15.75">
      <c r="A212" s="621">
        <v>8</v>
      </c>
      <c r="B212" s="666" t="s">
        <v>26</v>
      </c>
      <c r="C212" s="623"/>
      <c r="D212" s="667"/>
      <c r="E212" s="625"/>
      <c r="F212" s="626"/>
      <c r="G212" s="613"/>
      <c r="H212" s="662"/>
      <c r="I212" s="609"/>
      <c r="J212" s="609"/>
      <c r="K212" s="609"/>
      <c r="L212" s="609"/>
      <c r="M212" s="609"/>
      <c r="N212" s="615"/>
      <c r="O212" s="615"/>
    </row>
    <row r="213" spans="1:15" ht="25.5">
      <c r="A213" s="630" t="s">
        <v>38</v>
      </c>
      <c r="B213" s="629" t="s">
        <v>39</v>
      </c>
      <c r="C213" s="628" t="s">
        <v>40</v>
      </c>
      <c r="D213" s="628" t="s">
        <v>41</v>
      </c>
      <c r="E213" s="599" t="s">
        <v>1261</v>
      </c>
      <c r="F213" s="599" t="s">
        <v>1262</v>
      </c>
      <c r="G213" s="600"/>
      <c r="H213" s="601"/>
      <c r="I213" s="601"/>
      <c r="J213" s="146"/>
      <c r="K213" s="146"/>
      <c r="L213" s="601"/>
      <c r="M213" s="146"/>
      <c r="N213" s="631" t="s">
        <v>1264</v>
      </c>
      <c r="O213" s="631" t="s">
        <v>1263</v>
      </c>
    </row>
    <row r="214" spans="1:15" ht="106.5" customHeight="1">
      <c r="A214" s="102"/>
      <c r="B214" s="1222" t="s">
        <v>101</v>
      </c>
      <c r="C214" s="1222"/>
      <c r="D214" s="1222"/>
      <c r="E214" s="1222"/>
      <c r="F214" s="1106"/>
      <c r="G214" s="26"/>
      <c r="H214" s="97"/>
      <c r="I214" s="39"/>
      <c r="N214" s="89"/>
      <c r="O214" s="89"/>
    </row>
    <row r="215" spans="1:15" ht="173.25" customHeight="1">
      <c r="A215" s="81"/>
      <c r="B215" s="1222" t="s">
        <v>102</v>
      </c>
      <c r="C215" s="1222"/>
      <c r="D215" s="1222"/>
      <c r="E215" s="1222"/>
      <c r="F215" s="1106"/>
      <c r="G215" s="26"/>
      <c r="H215" s="97"/>
      <c r="I215" s="39"/>
      <c r="N215" s="89"/>
      <c r="O215" s="89"/>
    </row>
    <row r="216" spans="1:15" ht="280.5">
      <c r="A216" s="81">
        <v>8.01</v>
      </c>
      <c r="B216" s="71" t="s">
        <v>270</v>
      </c>
      <c r="C216" s="74"/>
      <c r="D216" s="82"/>
      <c r="E216" s="182"/>
      <c r="F216" s="82"/>
      <c r="G216" s="26"/>
      <c r="H216" s="97"/>
      <c r="I216" s="39"/>
      <c r="N216" s="89"/>
      <c r="O216" s="89"/>
    </row>
    <row r="217" spans="1:15" ht="12.75">
      <c r="A217" s="81"/>
      <c r="B217" s="80"/>
      <c r="C217" s="74" t="s">
        <v>45</v>
      </c>
      <c r="D217" s="104">
        <f>219.77</f>
        <v>219.77</v>
      </c>
      <c r="E217" s="69"/>
      <c r="F217" s="82">
        <f>D217*E217</f>
        <v>0</v>
      </c>
      <c r="G217" s="26">
        <v>12</v>
      </c>
      <c r="H217" s="97"/>
      <c r="I217" s="39"/>
      <c r="N217" s="89">
        <f>E217*1.2</f>
        <v>0</v>
      </c>
      <c r="O217" s="89">
        <f>N217*D217</f>
        <v>0</v>
      </c>
    </row>
    <row r="218" spans="1:15" ht="191.25">
      <c r="A218" s="102">
        <v>8.02</v>
      </c>
      <c r="B218" s="71" t="s">
        <v>248</v>
      </c>
      <c r="C218" s="74"/>
      <c r="D218" s="82"/>
      <c r="E218" s="182"/>
      <c r="F218" s="82"/>
      <c r="G218" s="26"/>
      <c r="H218" s="97"/>
      <c r="I218" s="39"/>
      <c r="N218" s="89"/>
      <c r="O218" s="89"/>
    </row>
    <row r="219" spans="1:15" ht="12.75">
      <c r="A219" s="102"/>
      <c r="B219" s="73" t="s">
        <v>93</v>
      </c>
      <c r="C219" s="74" t="s">
        <v>45</v>
      </c>
      <c r="D219" s="133">
        <f>4.23*2.73*2</f>
        <v>23.0958</v>
      </c>
      <c r="E219" s="38"/>
      <c r="F219" s="38"/>
      <c r="H219" s="97"/>
      <c r="I219" s="39"/>
      <c r="N219" s="89"/>
      <c r="O219" s="89"/>
    </row>
    <row r="220" spans="1:15" ht="12.75">
      <c r="A220" s="81"/>
      <c r="B220" s="73" t="s">
        <v>177</v>
      </c>
      <c r="C220" s="74" t="s">
        <v>45</v>
      </c>
      <c r="D220" s="104">
        <f>3.52*2+3.23+4.2+2.97</f>
        <v>17.439999999999998</v>
      </c>
      <c r="E220" s="69"/>
      <c r="F220" s="82"/>
      <c r="G220" s="26"/>
      <c r="H220" s="97"/>
      <c r="I220" s="39"/>
      <c r="N220" s="89"/>
      <c r="O220" s="89"/>
    </row>
    <row r="221" spans="1:15" ht="12.75">
      <c r="A221" s="81"/>
      <c r="B221" s="73" t="s">
        <v>178</v>
      </c>
      <c r="C221" s="74" t="s">
        <v>45</v>
      </c>
      <c r="D221" s="104">
        <f>5.58+3.52*2+2.97</f>
        <v>15.590000000000002</v>
      </c>
      <c r="E221" s="69"/>
      <c r="F221" s="82"/>
      <c r="G221" s="26"/>
      <c r="H221" s="97"/>
      <c r="I221" s="39"/>
      <c r="N221" s="89"/>
      <c r="O221" s="89"/>
    </row>
    <row r="222" spans="1:15" ht="12.75">
      <c r="A222" s="81"/>
      <c r="B222" s="73" t="s">
        <v>53</v>
      </c>
      <c r="C222" s="74" t="s">
        <v>45</v>
      </c>
      <c r="D222" s="104">
        <f>D219+D220+D221</f>
        <v>56.1258</v>
      </c>
      <c r="E222" s="69"/>
      <c r="F222" s="82">
        <f>D222*E222</f>
        <v>0</v>
      </c>
      <c r="G222" s="26">
        <v>8</v>
      </c>
      <c r="H222" s="97"/>
      <c r="I222" s="39"/>
      <c r="N222" s="89">
        <f>E222*1.2</f>
        <v>0</v>
      </c>
      <c r="O222" s="89">
        <f>N222*D222</f>
        <v>0</v>
      </c>
    </row>
    <row r="223" spans="1:15" ht="76.5">
      <c r="A223" s="81">
        <v>8.03</v>
      </c>
      <c r="B223" s="71" t="s">
        <v>103</v>
      </c>
      <c r="C223" s="74"/>
      <c r="D223" s="82"/>
      <c r="E223" s="182"/>
      <c r="F223" s="82"/>
      <c r="G223" s="26"/>
      <c r="H223" s="97"/>
      <c r="I223" s="39"/>
      <c r="N223" s="89"/>
      <c r="O223" s="89"/>
    </row>
    <row r="224" spans="1:15" ht="12.75">
      <c r="A224" s="102"/>
      <c r="B224" s="73" t="s">
        <v>93</v>
      </c>
      <c r="C224" s="74" t="s">
        <v>45</v>
      </c>
      <c r="D224" s="104">
        <f>183.89</f>
        <v>183.89</v>
      </c>
      <c r="E224" s="125"/>
      <c r="F224" s="38"/>
      <c r="H224" s="97"/>
      <c r="I224" s="39"/>
      <c r="N224" s="89"/>
      <c r="O224" s="89"/>
    </row>
    <row r="225" spans="1:15" ht="12.75">
      <c r="A225" s="81"/>
      <c r="B225" s="73" t="s">
        <v>177</v>
      </c>
      <c r="C225" s="198" t="s">
        <v>45</v>
      </c>
      <c r="D225" s="199">
        <f>D232</f>
        <v>201.14000000000001</v>
      </c>
      <c r="E225" s="69"/>
      <c r="F225" s="200"/>
      <c r="G225" s="26"/>
      <c r="H225" s="97"/>
      <c r="I225" s="39"/>
      <c r="N225" s="89"/>
      <c r="O225" s="89"/>
    </row>
    <row r="226" spans="1:15" ht="12.75">
      <c r="A226" s="81"/>
      <c r="B226" s="73" t="s">
        <v>178</v>
      </c>
      <c r="C226" s="198" t="s">
        <v>45</v>
      </c>
      <c r="D226" s="199">
        <f>D233</f>
        <v>201.82</v>
      </c>
      <c r="E226" s="69"/>
      <c r="F226" s="200"/>
      <c r="G226" s="26"/>
      <c r="H226" s="97"/>
      <c r="I226" s="39"/>
      <c r="N226" s="89"/>
      <c r="O226" s="89"/>
    </row>
    <row r="227" spans="1:15" ht="12.75">
      <c r="A227" s="81"/>
      <c r="B227" s="73" t="s">
        <v>94</v>
      </c>
      <c r="C227" s="198" t="s">
        <v>45</v>
      </c>
      <c r="D227" s="175">
        <v>192.8</v>
      </c>
      <c r="E227" s="182"/>
      <c r="F227" s="200"/>
      <c r="G227" s="26"/>
      <c r="H227" s="97"/>
      <c r="I227" s="39"/>
      <c r="N227" s="89"/>
      <c r="O227" s="89"/>
    </row>
    <row r="228" spans="1:15" ht="12.75">
      <c r="A228" s="81"/>
      <c r="B228" s="131" t="s">
        <v>53</v>
      </c>
      <c r="C228" s="198" t="s">
        <v>45</v>
      </c>
      <c r="D228" s="175">
        <f>D224+D225+D226+D227</f>
        <v>779.6499999999999</v>
      </c>
      <c r="E228" s="69"/>
      <c r="F228" s="82">
        <f>D228*E228</f>
        <v>0</v>
      </c>
      <c r="G228" s="26">
        <v>1</v>
      </c>
      <c r="H228" s="97"/>
      <c r="I228" s="39"/>
      <c r="N228" s="89">
        <f>E228*1.2</f>
        <v>0</v>
      </c>
      <c r="O228" s="89">
        <f>N228*D228</f>
        <v>0</v>
      </c>
    </row>
    <row r="229" spans="1:15" ht="12.75">
      <c r="A229" s="81"/>
      <c r="B229" s="131"/>
      <c r="C229" s="198"/>
      <c r="D229" s="175"/>
      <c r="E229" s="69"/>
      <c r="F229" s="82"/>
      <c r="G229" s="26"/>
      <c r="H229" s="97"/>
      <c r="I229" s="39"/>
      <c r="N229" s="89"/>
      <c r="O229" s="89"/>
    </row>
    <row r="230" spans="1:15" ht="89.25">
      <c r="A230" s="81">
        <v>8.04</v>
      </c>
      <c r="B230" s="71" t="s">
        <v>271</v>
      </c>
      <c r="C230" s="198" t="s">
        <v>45</v>
      </c>
      <c r="D230" s="175">
        <f>(14.6*18.74)/0.920504853</f>
        <v>297.2325448456924</v>
      </c>
      <c r="E230" s="69"/>
      <c r="F230" s="82">
        <f>D230*E230</f>
        <v>0</v>
      </c>
      <c r="G230" s="26">
        <v>2</v>
      </c>
      <c r="H230" s="97"/>
      <c r="I230" s="39"/>
      <c r="N230" s="89">
        <f>E230*1.2</f>
        <v>0</v>
      </c>
      <c r="O230" s="89">
        <f>N230*D230</f>
        <v>0</v>
      </c>
    </row>
    <row r="231" spans="1:15" ht="127.5">
      <c r="A231" s="102">
        <v>8.05</v>
      </c>
      <c r="B231" s="71" t="s">
        <v>221</v>
      </c>
      <c r="C231" s="74"/>
      <c r="D231" s="82"/>
      <c r="E231" s="182"/>
      <c r="F231" s="82"/>
      <c r="G231" s="26"/>
      <c r="H231" s="97"/>
      <c r="I231" s="39"/>
      <c r="N231" s="89"/>
      <c r="O231" s="89"/>
    </row>
    <row r="232" spans="1:15" ht="12.75">
      <c r="A232" s="102"/>
      <c r="B232" s="73" t="s">
        <v>177</v>
      </c>
      <c r="C232" s="74" t="s">
        <v>45</v>
      </c>
      <c r="D232" s="104">
        <f>205.34-4.2</f>
        <v>201.14000000000001</v>
      </c>
      <c r="E232" s="69"/>
      <c r="F232" s="82"/>
      <c r="G232" s="26"/>
      <c r="H232" s="97"/>
      <c r="I232" s="39"/>
      <c r="N232" s="89"/>
      <c r="O232" s="89"/>
    </row>
    <row r="233" spans="1:15" ht="12.75">
      <c r="A233" s="102"/>
      <c r="B233" s="73" t="s">
        <v>178</v>
      </c>
      <c r="C233" s="74" t="s">
        <v>45</v>
      </c>
      <c r="D233" s="104">
        <f>201.82</f>
        <v>201.82</v>
      </c>
      <c r="E233" s="38"/>
      <c r="F233" s="38"/>
      <c r="H233" s="97"/>
      <c r="I233" s="39"/>
      <c r="N233" s="89"/>
      <c r="O233" s="89"/>
    </row>
    <row r="234" spans="1:15" ht="12.75">
      <c r="A234" s="102"/>
      <c r="B234" s="131" t="s">
        <v>53</v>
      </c>
      <c r="C234" s="74" t="s">
        <v>45</v>
      </c>
      <c r="D234" s="104">
        <f>D232+D233</f>
        <v>402.96000000000004</v>
      </c>
      <c r="E234" s="69"/>
      <c r="F234" s="82">
        <f>D234*E234</f>
        <v>0</v>
      </c>
      <c r="G234" s="26">
        <v>2.75</v>
      </c>
      <c r="H234" s="97"/>
      <c r="I234" s="39"/>
      <c r="N234" s="89">
        <f>E234*1.2</f>
        <v>0</v>
      </c>
      <c r="O234" s="89">
        <f>N234*D234</f>
        <v>0</v>
      </c>
    </row>
    <row r="235" spans="1:15" ht="89.25">
      <c r="A235" s="102">
        <v>8.06</v>
      </c>
      <c r="B235" s="71" t="s">
        <v>104</v>
      </c>
      <c r="C235" s="74"/>
      <c r="D235" s="82"/>
      <c r="E235" s="182"/>
      <c r="F235" s="82"/>
      <c r="G235" s="26"/>
      <c r="H235" s="97"/>
      <c r="I235" s="39"/>
      <c r="N235" s="89"/>
      <c r="O235" s="89"/>
    </row>
    <row r="236" spans="1:15" ht="12.75">
      <c r="A236" s="75"/>
      <c r="B236" s="164"/>
      <c r="C236" s="74" t="s">
        <v>45</v>
      </c>
      <c r="D236" s="104">
        <f>183.89</f>
        <v>183.89</v>
      </c>
      <c r="E236" s="69"/>
      <c r="F236" s="82">
        <f>D236*E236</f>
        <v>0</v>
      </c>
      <c r="G236" s="26">
        <v>19</v>
      </c>
      <c r="H236" s="100"/>
      <c r="N236" s="89">
        <f>E236*1.2</f>
        <v>0</v>
      </c>
      <c r="O236" s="89">
        <f>N236*D236</f>
        <v>0</v>
      </c>
    </row>
    <row r="237" spans="1:23" s="65" customFormat="1" ht="89.25">
      <c r="A237" s="70">
        <v>8.07</v>
      </c>
      <c r="B237" s="71" t="s">
        <v>227</v>
      </c>
      <c r="C237" s="74"/>
      <c r="D237" s="82"/>
      <c r="E237" s="182"/>
      <c r="F237" s="82"/>
      <c r="G237" s="26"/>
      <c r="H237" s="97"/>
      <c r="I237" s="39"/>
      <c r="J237" s="38"/>
      <c r="K237" s="38"/>
      <c r="M237" s="38"/>
      <c r="N237" s="89"/>
      <c r="O237" s="89"/>
      <c r="Q237" s="38"/>
      <c r="R237" s="38"/>
      <c r="S237" s="38"/>
      <c r="U237" s="38"/>
      <c r="V237" s="38"/>
      <c r="W237" s="38"/>
    </row>
    <row r="238" spans="1:15" ht="12.75">
      <c r="A238" s="102"/>
      <c r="B238" s="73" t="s">
        <v>94</v>
      </c>
      <c r="C238" s="74"/>
      <c r="D238" s="104">
        <v>192.8</v>
      </c>
      <c r="E238" s="69"/>
      <c r="F238" s="82">
        <f>D238*E238</f>
        <v>0</v>
      </c>
      <c r="G238" s="26">
        <v>16.5</v>
      </c>
      <c r="H238" s="97"/>
      <c r="I238" s="39"/>
      <c r="N238" s="89">
        <f>E238*1.2</f>
        <v>0</v>
      </c>
      <c r="O238" s="89">
        <f>N238*D238</f>
        <v>0</v>
      </c>
    </row>
    <row r="239" spans="1:23" s="65" customFormat="1" ht="114.75">
      <c r="A239" s="70">
        <v>8.08</v>
      </c>
      <c r="B239" s="71" t="s">
        <v>226</v>
      </c>
      <c r="C239" s="74" t="s">
        <v>45</v>
      </c>
      <c r="D239" s="104">
        <f>20.22</f>
        <v>20.22</v>
      </c>
      <c r="E239" s="69"/>
      <c r="F239" s="82">
        <f>D239*E239</f>
        <v>0</v>
      </c>
      <c r="G239" s="26">
        <v>24</v>
      </c>
      <c r="H239" s="97"/>
      <c r="I239" s="39"/>
      <c r="J239" s="38"/>
      <c r="K239" s="38"/>
      <c r="M239" s="38"/>
      <c r="N239" s="89">
        <f>E239*1.2</f>
        <v>0</v>
      </c>
      <c r="O239" s="89">
        <f>N239*D239</f>
        <v>0</v>
      </c>
      <c r="Q239" s="38"/>
      <c r="R239" s="38"/>
      <c r="S239" s="38"/>
      <c r="U239" s="38"/>
      <c r="V239" s="38"/>
      <c r="W239" s="38"/>
    </row>
    <row r="240" spans="1:15" ht="102">
      <c r="A240" s="102">
        <v>8.09</v>
      </c>
      <c r="B240" s="73" t="s">
        <v>228</v>
      </c>
      <c r="C240" s="74"/>
      <c r="D240" s="104"/>
      <c r="E240" s="69"/>
      <c r="F240" s="82"/>
      <c r="G240" s="26"/>
      <c r="H240" s="97"/>
      <c r="I240" s="39"/>
      <c r="N240" s="89"/>
      <c r="O240" s="89"/>
    </row>
    <row r="241" spans="1:15" ht="12.75">
      <c r="A241" s="102"/>
      <c r="B241" s="73" t="s">
        <v>16</v>
      </c>
      <c r="C241" s="74" t="s">
        <v>45</v>
      </c>
      <c r="D241" s="104">
        <f>2.8*3.2+10.76*2</f>
        <v>30.479999999999997</v>
      </c>
      <c r="E241" s="69"/>
      <c r="F241" s="82">
        <f>D241*E241</f>
        <v>0</v>
      </c>
      <c r="G241" s="26">
        <v>8</v>
      </c>
      <c r="H241" s="97"/>
      <c r="I241" s="39"/>
      <c r="N241" s="89">
        <f>E241*1.2</f>
        <v>0</v>
      </c>
      <c r="O241" s="89">
        <f>N241*D241</f>
        <v>0</v>
      </c>
    </row>
    <row r="242" spans="1:15" ht="12.75">
      <c r="A242" s="102"/>
      <c r="B242" s="73"/>
      <c r="C242" s="74"/>
      <c r="D242" s="104"/>
      <c r="E242" s="69"/>
      <c r="F242" s="82"/>
      <c r="G242" s="26"/>
      <c r="H242" s="97"/>
      <c r="I242" s="39"/>
      <c r="N242" s="89"/>
      <c r="O242" s="89"/>
    </row>
    <row r="243" spans="1:15" ht="102">
      <c r="A243" s="102">
        <v>8.1</v>
      </c>
      <c r="B243" s="73" t="s">
        <v>224</v>
      </c>
      <c r="C243" s="74"/>
      <c r="D243" s="104"/>
      <c r="E243" s="69"/>
      <c r="F243" s="82"/>
      <c r="G243" s="26"/>
      <c r="H243" s="97"/>
      <c r="I243" s="39"/>
      <c r="N243" s="89"/>
      <c r="O243" s="89"/>
    </row>
    <row r="244" spans="1:15" ht="12.75">
      <c r="A244" s="102"/>
      <c r="B244" s="73"/>
      <c r="C244" s="74" t="s">
        <v>45</v>
      </c>
      <c r="D244" s="104">
        <f>271.86</f>
        <v>271.86</v>
      </c>
      <c r="E244" s="69"/>
      <c r="F244" s="82">
        <f>D244*E244</f>
        <v>0</v>
      </c>
      <c r="G244" s="26">
        <v>11.5</v>
      </c>
      <c r="H244" s="97"/>
      <c r="I244" s="39"/>
      <c r="N244" s="89">
        <f>E244*1.2</f>
        <v>0</v>
      </c>
      <c r="O244" s="89">
        <f>N244*D244</f>
        <v>0</v>
      </c>
    </row>
    <row r="245" spans="1:15" ht="114.75">
      <c r="A245" s="102">
        <v>8.11</v>
      </c>
      <c r="B245" s="73" t="s">
        <v>225</v>
      </c>
      <c r="C245" s="74"/>
      <c r="D245" s="104"/>
      <c r="E245" s="69"/>
      <c r="F245" s="82"/>
      <c r="G245" s="26"/>
      <c r="H245" s="97"/>
      <c r="I245" s="39"/>
      <c r="N245" s="89"/>
      <c r="O245" s="89"/>
    </row>
    <row r="246" spans="1:15" ht="12.75">
      <c r="A246" s="102"/>
      <c r="B246" s="73" t="s">
        <v>223</v>
      </c>
      <c r="C246" s="74" t="s">
        <v>45</v>
      </c>
      <c r="D246" s="104">
        <v>18</v>
      </c>
      <c r="E246" s="69"/>
      <c r="F246" s="82">
        <f>D246*E246</f>
        <v>0</v>
      </c>
      <c r="G246" s="26">
        <v>9</v>
      </c>
      <c r="H246" s="97"/>
      <c r="I246" s="39"/>
      <c r="N246" s="89">
        <f>E246*1.2</f>
        <v>0</v>
      </c>
      <c r="O246" s="89">
        <f>N246*D246</f>
        <v>0</v>
      </c>
    </row>
    <row r="247" spans="1:15" ht="12.75">
      <c r="A247" s="102"/>
      <c r="B247" s="73" t="s">
        <v>198</v>
      </c>
      <c r="C247" s="74" t="s">
        <v>45</v>
      </c>
      <c r="D247" s="104">
        <v>18</v>
      </c>
      <c r="E247" s="69"/>
      <c r="F247" s="82">
        <f>D247*E247</f>
        <v>0</v>
      </c>
      <c r="G247" s="26">
        <v>15</v>
      </c>
      <c r="H247" s="97"/>
      <c r="I247" s="39"/>
      <c r="N247" s="89">
        <f>E247*1.2</f>
        <v>0</v>
      </c>
      <c r="O247" s="89">
        <f>N247*D247</f>
        <v>0</v>
      </c>
    </row>
    <row r="248" spans="1:15" ht="12.75">
      <c r="A248" s="102"/>
      <c r="B248" s="131" t="s">
        <v>53</v>
      </c>
      <c r="C248" s="74" t="s">
        <v>45</v>
      </c>
      <c r="D248" s="104"/>
      <c r="E248" s="69"/>
      <c r="F248" s="82"/>
      <c r="G248" s="26"/>
      <c r="H248" s="97"/>
      <c r="I248" s="39"/>
      <c r="N248" s="89"/>
      <c r="O248" s="89"/>
    </row>
    <row r="249" spans="1:15" ht="15.75">
      <c r="A249" s="621">
        <v>8</v>
      </c>
      <c r="B249" s="666" t="s">
        <v>26</v>
      </c>
      <c r="C249" s="617"/>
      <c r="D249" s="612"/>
      <c r="E249" s="612" t="s">
        <v>117</v>
      </c>
      <c r="F249" s="673">
        <f>SUM(F216:F248)</f>
        <v>0</v>
      </c>
      <c r="G249" s="613"/>
      <c r="H249" s="662"/>
      <c r="I249" s="609"/>
      <c r="J249" s="609"/>
      <c r="K249" s="609"/>
      <c r="L249" s="609"/>
      <c r="M249" s="609"/>
      <c r="N249" s="615"/>
      <c r="O249" s="616">
        <f>SUM(O216:O248)</f>
        <v>0</v>
      </c>
    </row>
    <row r="250" spans="1:15" ht="12.75">
      <c r="A250" s="8"/>
      <c r="B250" s="62"/>
      <c r="C250" s="61"/>
      <c r="D250" s="7"/>
      <c r="E250" s="69"/>
      <c r="F250" s="61"/>
      <c r="G250" s="26"/>
      <c r="H250" s="100"/>
      <c r="N250" s="89"/>
      <c r="O250" s="89"/>
    </row>
    <row r="251" spans="1:15" ht="12.75">
      <c r="A251" s="49"/>
      <c r="B251" s="162"/>
      <c r="C251" s="61"/>
      <c r="D251" s="61"/>
      <c r="E251" s="61"/>
      <c r="F251" s="82"/>
      <c r="G251" s="26"/>
      <c r="H251" s="100"/>
      <c r="N251" s="89"/>
      <c r="O251" s="89"/>
    </row>
    <row r="252" spans="1:15" ht="15.75">
      <c r="A252" s="621">
        <v>9</v>
      </c>
      <c r="B252" s="675" t="s">
        <v>106</v>
      </c>
      <c r="C252" s="623"/>
      <c r="D252" s="667"/>
      <c r="E252" s="625"/>
      <c r="F252" s="626"/>
      <c r="G252" s="613"/>
      <c r="H252" s="674"/>
      <c r="I252" s="674"/>
      <c r="J252" s="609"/>
      <c r="K252" s="609"/>
      <c r="L252" s="609"/>
      <c r="M252" s="609"/>
      <c r="N252" s="615"/>
      <c r="O252" s="615"/>
    </row>
    <row r="253" spans="1:15" ht="25.5">
      <c r="A253" s="630" t="s">
        <v>38</v>
      </c>
      <c r="B253" s="629" t="s">
        <v>39</v>
      </c>
      <c r="C253" s="628" t="s">
        <v>40</v>
      </c>
      <c r="D253" s="628" t="s">
        <v>41</v>
      </c>
      <c r="E253" s="599" t="s">
        <v>1261</v>
      </c>
      <c r="F253" s="599" t="s">
        <v>1262</v>
      </c>
      <c r="G253" s="600"/>
      <c r="H253" s="601"/>
      <c r="I253" s="601"/>
      <c r="J253" s="146"/>
      <c r="K253" s="146"/>
      <c r="L253" s="601"/>
      <c r="M253" s="146"/>
      <c r="N253" s="631" t="s">
        <v>1264</v>
      </c>
      <c r="O253" s="631" t="s">
        <v>1263</v>
      </c>
    </row>
    <row r="254" spans="1:15" ht="81.75" customHeight="1">
      <c r="A254" s="8"/>
      <c r="B254" s="1223" t="s">
        <v>107</v>
      </c>
      <c r="C254" s="1223"/>
      <c r="D254" s="1223"/>
      <c r="E254" s="1223"/>
      <c r="F254" s="1104"/>
      <c r="G254" s="26"/>
      <c r="H254" s="32"/>
      <c r="I254" s="32"/>
      <c r="N254" s="89"/>
      <c r="O254" s="89"/>
    </row>
    <row r="255" spans="1:15" ht="116.25" customHeight="1">
      <c r="A255" s="49"/>
      <c r="B255" s="1223" t="s">
        <v>108</v>
      </c>
      <c r="C255" s="1223"/>
      <c r="D255" s="1223"/>
      <c r="E255" s="1223"/>
      <c r="F255" s="1104"/>
      <c r="G255" s="26"/>
      <c r="H255" s="1"/>
      <c r="I255" s="1"/>
      <c r="N255" s="89"/>
      <c r="O255" s="89"/>
    </row>
    <row r="256" spans="1:15" ht="255">
      <c r="A256" s="49">
        <v>9.01</v>
      </c>
      <c r="B256" s="83" t="s">
        <v>220</v>
      </c>
      <c r="C256" s="6"/>
      <c r="D256" s="84"/>
      <c r="E256" s="69"/>
      <c r="F256" s="7"/>
      <c r="G256" s="26"/>
      <c r="H256" s="1"/>
      <c r="I256" s="1"/>
      <c r="N256" s="89"/>
      <c r="O256" s="89"/>
    </row>
    <row r="257" spans="1:15" ht="12.75">
      <c r="A257" s="67"/>
      <c r="B257" s="83" t="s">
        <v>112</v>
      </c>
      <c r="C257" s="6"/>
      <c r="D257" s="84"/>
      <c r="E257" s="69"/>
      <c r="F257" s="7"/>
      <c r="G257" s="26"/>
      <c r="H257" s="1"/>
      <c r="I257" s="1"/>
      <c r="N257" s="89"/>
      <c r="O257" s="89"/>
    </row>
    <row r="258" spans="1:15" ht="12.75">
      <c r="A258" s="49"/>
      <c r="B258" s="201" t="s">
        <v>194</v>
      </c>
      <c r="C258" s="134" t="s">
        <v>47</v>
      </c>
      <c r="D258" s="84">
        <v>9</v>
      </c>
      <c r="E258" s="69"/>
      <c r="F258" s="82">
        <f aca="true" t="shared" si="3" ref="F258:F263">D258*E258</f>
        <v>0</v>
      </c>
      <c r="G258" s="26">
        <v>120</v>
      </c>
      <c r="H258" s="1"/>
      <c r="I258" s="1"/>
      <c r="N258" s="89">
        <f aca="true" t="shared" si="4" ref="N258:N263">E258*1.2</f>
        <v>0</v>
      </c>
      <c r="O258" s="89">
        <f aca="true" t="shared" si="5" ref="O258:O263">N258*D258</f>
        <v>0</v>
      </c>
    </row>
    <row r="259" spans="1:15" ht="12.75">
      <c r="A259" s="49"/>
      <c r="B259" s="201" t="s">
        <v>109</v>
      </c>
      <c r="C259" s="134" t="s">
        <v>47</v>
      </c>
      <c r="D259" s="84">
        <v>4</v>
      </c>
      <c r="E259" s="69"/>
      <c r="F259" s="82">
        <f t="shared" si="3"/>
        <v>0</v>
      </c>
      <c r="G259" s="26">
        <v>300</v>
      </c>
      <c r="H259" s="1"/>
      <c r="I259" s="1"/>
      <c r="N259" s="89">
        <f t="shared" si="4"/>
        <v>0</v>
      </c>
      <c r="O259" s="89">
        <f t="shared" si="5"/>
        <v>0</v>
      </c>
    </row>
    <row r="260" spans="1:15" ht="12.75">
      <c r="A260" s="49"/>
      <c r="B260" s="201" t="s">
        <v>110</v>
      </c>
      <c r="C260" s="134" t="s">
        <v>47</v>
      </c>
      <c r="D260" s="84">
        <v>21</v>
      </c>
      <c r="E260" s="69"/>
      <c r="F260" s="82">
        <f t="shared" si="3"/>
        <v>0</v>
      </c>
      <c r="G260" s="26">
        <v>310</v>
      </c>
      <c r="H260" s="1"/>
      <c r="I260" s="1"/>
      <c r="N260" s="89">
        <f t="shared" si="4"/>
        <v>0</v>
      </c>
      <c r="O260" s="89">
        <f t="shared" si="5"/>
        <v>0</v>
      </c>
    </row>
    <row r="261" spans="1:15" ht="12.75">
      <c r="A261" s="49"/>
      <c r="B261" s="201" t="s">
        <v>185</v>
      </c>
      <c r="C261" s="134" t="s">
        <v>47</v>
      </c>
      <c r="D261" s="84">
        <v>12</v>
      </c>
      <c r="E261" s="69"/>
      <c r="F261" s="82">
        <f t="shared" si="3"/>
        <v>0</v>
      </c>
      <c r="G261" s="26">
        <v>350</v>
      </c>
      <c r="H261" s="1"/>
      <c r="I261" s="1"/>
      <c r="N261" s="89">
        <f t="shared" si="4"/>
        <v>0</v>
      </c>
      <c r="O261" s="89">
        <f t="shared" si="5"/>
        <v>0</v>
      </c>
    </row>
    <row r="262" spans="1:15" ht="12.75">
      <c r="A262" s="49"/>
      <c r="B262" s="56" t="s">
        <v>193</v>
      </c>
      <c r="C262" s="163" t="s">
        <v>47</v>
      </c>
      <c r="D262" s="62">
        <v>2</v>
      </c>
      <c r="E262" s="69"/>
      <c r="F262" s="82">
        <f t="shared" si="3"/>
        <v>0</v>
      </c>
      <c r="G262" s="26">
        <v>370</v>
      </c>
      <c r="H262" s="1"/>
      <c r="I262" s="1"/>
      <c r="N262" s="89">
        <f t="shared" si="4"/>
        <v>0</v>
      </c>
      <c r="O262" s="89">
        <f t="shared" si="5"/>
        <v>0</v>
      </c>
    </row>
    <row r="263" spans="1:15" ht="12.75">
      <c r="A263" s="49"/>
      <c r="B263" s="56" t="s">
        <v>111</v>
      </c>
      <c r="C263" s="163" t="s">
        <v>47</v>
      </c>
      <c r="D263" s="62">
        <v>9</v>
      </c>
      <c r="E263" s="69"/>
      <c r="F263" s="82">
        <f t="shared" si="3"/>
        <v>0</v>
      </c>
      <c r="G263" s="26">
        <v>410</v>
      </c>
      <c r="H263" s="1"/>
      <c r="I263" s="1"/>
      <c r="N263" s="89">
        <f t="shared" si="4"/>
        <v>0</v>
      </c>
      <c r="O263" s="89">
        <f t="shared" si="5"/>
        <v>0</v>
      </c>
    </row>
    <row r="264" spans="1:15" ht="12.75">
      <c r="A264" s="49"/>
      <c r="B264" s="275"/>
      <c r="C264" s="163"/>
      <c r="D264" s="62"/>
      <c r="E264" s="69"/>
      <c r="F264" s="82"/>
      <c r="G264" s="26"/>
      <c r="H264" s="1"/>
      <c r="I264" s="1"/>
      <c r="N264" s="89"/>
      <c r="O264" s="89"/>
    </row>
    <row r="265" spans="1:15" ht="178.5">
      <c r="A265" s="8">
        <v>9.02</v>
      </c>
      <c r="B265" s="56" t="s">
        <v>195</v>
      </c>
      <c r="C265" s="163"/>
      <c r="D265" s="62"/>
      <c r="E265" s="64"/>
      <c r="F265" s="64"/>
      <c r="G265" s="26"/>
      <c r="H265" s="1"/>
      <c r="I265" s="1"/>
      <c r="N265" s="89"/>
      <c r="O265" s="89"/>
    </row>
    <row r="266" spans="1:15" ht="12.75">
      <c r="A266" s="49"/>
      <c r="B266" s="202" t="s">
        <v>2</v>
      </c>
      <c r="C266" s="163" t="s">
        <v>47</v>
      </c>
      <c r="D266" s="62">
        <v>6</v>
      </c>
      <c r="E266" s="69"/>
      <c r="F266" s="82">
        <f>D266*E266</f>
        <v>0</v>
      </c>
      <c r="G266" s="26">
        <v>340</v>
      </c>
      <c r="H266" s="1"/>
      <c r="I266" s="1"/>
      <c r="N266" s="89">
        <f>E266*1.2</f>
        <v>0</v>
      </c>
      <c r="O266" s="89">
        <f>N266*D266</f>
        <v>0</v>
      </c>
    </row>
    <row r="267" spans="1:15" ht="114.75">
      <c r="A267" s="67">
        <v>9.03</v>
      </c>
      <c r="B267" s="83" t="s">
        <v>190</v>
      </c>
      <c r="C267" s="6"/>
      <c r="D267" s="84"/>
      <c r="E267" s="69"/>
      <c r="F267" s="7"/>
      <c r="G267" s="26"/>
      <c r="H267" s="1"/>
      <c r="I267" s="1"/>
      <c r="N267" s="89"/>
      <c r="O267" s="89"/>
    </row>
    <row r="268" spans="1:15" ht="12.75">
      <c r="A268" s="67"/>
      <c r="B268" s="203" t="s">
        <v>17</v>
      </c>
      <c r="C268" s="6" t="s">
        <v>47</v>
      </c>
      <c r="D268" s="84">
        <v>1</v>
      </c>
      <c r="E268" s="69"/>
      <c r="F268" s="82">
        <f>D268*E268</f>
        <v>0</v>
      </c>
      <c r="G268" s="26">
        <v>900</v>
      </c>
      <c r="H268" s="1"/>
      <c r="I268" s="1"/>
      <c r="N268" s="89">
        <f>E268*1.2</f>
        <v>0</v>
      </c>
      <c r="O268" s="89">
        <f>N268*D268</f>
        <v>0</v>
      </c>
    </row>
    <row r="269" spans="1:15" ht="242.25">
      <c r="A269" s="49">
        <v>9.04</v>
      </c>
      <c r="B269" s="162" t="s">
        <v>305</v>
      </c>
      <c r="C269" s="192"/>
      <c r="D269" s="192"/>
      <c r="E269" s="192"/>
      <c r="F269" s="82"/>
      <c r="G269" s="26"/>
      <c r="H269" s="100"/>
      <c r="N269" s="89"/>
      <c r="O269" s="89"/>
    </row>
    <row r="270" spans="1:15" ht="12.75">
      <c r="A270" s="67"/>
      <c r="B270" s="83" t="s">
        <v>112</v>
      </c>
      <c r="C270" s="6"/>
      <c r="D270" s="84"/>
      <c r="E270" s="69"/>
      <c r="F270" s="7"/>
      <c r="G270" s="26"/>
      <c r="H270" s="1"/>
      <c r="I270" s="1"/>
      <c r="N270" s="89"/>
      <c r="O270" s="89"/>
    </row>
    <row r="271" spans="1:15" ht="12.75">
      <c r="A271" s="67"/>
      <c r="B271" s="202" t="s">
        <v>3</v>
      </c>
      <c r="C271" s="163" t="s">
        <v>47</v>
      </c>
      <c r="D271" s="62">
        <v>2</v>
      </c>
      <c r="E271" s="69"/>
      <c r="F271" s="82">
        <f>D271*E271</f>
        <v>0</v>
      </c>
      <c r="G271" s="26">
        <v>320</v>
      </c>
      <c r="H271" s="1"/>
      <c r="I271" s="1"/>
      <c r="N271" s="89">
        <f>E271*1.2</f>
        <v>0</v>
      </c>
      <c r="O271" s="89">
        <f>N271*D271</f>
        <v>0</v>
      </c>
    </row>
    <row r="272" spans="1:15" ht="140.25">
      <c r="A272" s="67">
        <v>9.05</v>
      </c>
      <c r="B272" s="202" t="s">
        <v>306</v>
      </c>
      <c r="C272" s="163"/>
      <c r="D272" s="62"/>
      <c r="E272" s="69"/>
      <c r="F272" s="82"/>
      <c r="G272" s="26"/>
      <c r="H272" s="1"/>
      <c r="I272" s="1"/>
      <c r="N272" s="89"/>
      <c r="O272" s="89"/>
    </row>
    <row r="273" spans="1:15" ht="12.75">
      <c r="A273" s="67"/>
      <c r="B273" s="202"/>
      <c r="C273" s="163" t="s">
        <v>45</v>
      </c>
      <c r="D273" s="62">
        <f>3*2.25</f>
        <v>6.75</v>
      </c>
      <c r="E273" s="69"/>
      <c r="F273" s="82">
        <f>D273*E273</f>
        <v>0</v>
      </c>
      <c r="G273" s="26">
        <v>150</v>
      </c>
      <c r="H273" s="1"/>
      <c r="I273" s="1"/>
      <c r="N273" s="89">
        <f>E273*1.2</f>
        <v>0</v>
      </c>
      <c r="O273" s="89">
        <f>N273*D273</f>
        <v>0</v>
      </c>
    </row>
    <row r="274" spans="1:15" ht="229.5">
      <c r="A274" s="49">
        <v>9.06</v>
      </c>
      <c r="B274" s="83" t="s">
        <v>186</v>
      </c>
      <c r="C274" s="61"/>
      <c r="D274" s="8"/>
      <c r="E274" s="192"/>
      <c r="F274" s="192"/>
      <c r="G274" s="26"/>
      <c r="H274" s="32"/>
      <c r="I274" s="32"/>
      <c r="N274" s="89"/>
      <c r="O274" s="89"/>
    </row>
    <row r="275" spans="1:15" ht="12.75">
      <c r="A275" s="8"/>
      <c r="B275" s="203" t="s">
        <v>113</v>
      </c>
      <c r="C275" s="6" t="s">
        <v>47</v>
      </c>
      <c r="D275" s="84">
        <v>15</v>
      </c>
      <c r="E275" s="69"/>
      <c r="F275" s="82">
        <f>D275*E275</f>
        <v>0</v>
      </c>
      <c r="G275" s="26">
        <v>170</v>
      </c>
      <c r="H275" s="32"/>
      <c r="I275" s="26"/>
      <c r="L275" s="26"/>
      <c r="N275" s="89">
        <f>E275*1.2</f>
        <v>0</v>
      </c>
      <c r="O275" s="89">
        <f>N275*D275</f>
        <v>0</v>
      </c>
    </row>
    <row r="276" spans="1:15" ht="12.75">
      <c r="A276" s="8"/>
      <c r="B276" s="203" t="s">
        <v>114</v>
      </c>
      <c r="C276" s="6" t="s">
        <v>47</v>
      </c>
      <c r="D276" s="84">
        <v>19</v>
      </c>
      <c r="E276" s="69"/>
      <c r="F276" s="82">
        <f>D276*E276</f>
        <v>0</v>
      </c>
      <c r="G276" s="26">
        <v>200</v>
      </c>
      <c r="H276" s="32"/>
      <c r="I276" s="26"/>
      <c r="L276" s="26"/>
      <c r="N276" s="89">
        <f>E276*1.2</f>
        <v>0</v>
      </c>
      <c r="O276" s="89">
        <f>N276*D276</f>
        <v>0</v>
      </c>
    </row>
    <row r="277" spans="1:15" ht="12.75">
      <c r="A277" s="8"/>
      <c r="B277" s="203" t="s">
        <v>115</v>
      </c>
      <c r="C277" s="6" t="s">
        <v>47</v>
      </c>
      <c r="D277" s="84">
        <v>3</v>
      </c>
      <c r="E277" s="69"/>
      <c r="F277" s="82">
        <f>D277*E277</f>
        <v>0</v>
      </c>
      <c r="G277" s="26">
        <v>210</v>
      </c>
      <c r="H277" s="32"/>
      <c r="I277" s="26"/>
      <c r="L277" s="26"/>
      <c r="N277" s="89">
        <f>E277*1.2</f>
        <v>0</v>
      </c>
      <c r="O277" s="89">
        <f>N277*D277</f>
        <v>0</v>
      </c>
    </row>
    <row r="278" spans="1:15" ht="12.75">
      <c r="A278" s="8"/>
      <c r="B278" s="119"/>
      <c r="C278" s="134"/>
      <c r="D278" s="84"/>
      <c r="E278" s="69"/>
      <c r="F278" s="82"/>
      <c r="G278" s="26"/>
      <c r="H278" s="32"/>
      <c r="I278" s="26"/>
      <c r="L278" s="26"/>
      <c r="N278" s="89"/>
      <c r="O278" s="89"/>
    </row>
    <row r="279" spans="1:15" ht="63.75">
      <c r="A279" s="8">
        <v>9.07</v>
      </c>
      <c r="B279" s="162" t="s">
        <v>116</v>
      </c>
      <c r="C279" s="134"/>
      <c r="D279" s="84"/>
      <c r="E279" s="69"/>
      <c r="F279" s="82"/>
      <c r="G279" s="26"/>
      <c r="H279" s="32"/>
      <c r="I279" s="26"/>
      <c r="L279" s="26"/>
      <c r="N279" s="89"/>
      <c r="O279" s="89"/>
    </row>
    <row r="280" spans="1:15" ht="12.75">
      <c r="A280" s="49"/>
      <c r="B280" s="202" t="s">
        <v>19</v>
      </c>
      <c r="C280" s="6" t="s">
        <v>47</v>
      </c>
      <c r="D280" s="84">
        <v>1</v>
      </c>
      <c r="E280" s="69"/>
      <c r="F280" s="82">
        <f>D280*E280</f>
        <v>0</v>
      </c>
      <c r="G280" s="26">
        <v>150</v>
      </c>
      <c r="H280" s="32"/>
      <c r="I280" s="26"/>
      <c r="L280" s="26"/>
      <c r="N280" s="89">
        <f>E280*1.2</f>
        <v>0</v>
      </c>
      <c r="O280" s="89">
        <f>N280*D280</f>
        <v>0</v>
      </c>
    </row>
    <row r="281" spans="1:15" ht="165.75">
      <c r="A281" s="67">
        <v>9.08</v>
      </c>
      <c r="B281" s="162" t="s">
        <v>307</v>
      </c>
      <c r="C281" s="134"/>
      <c r="D281" s="84"/>
      <c r="E281" s="69"/>
      <c r="F281" s="82"/>
      <c r="G281" s="26"/>
      <c r="H281" s="32"/>
      <c r="I281" s="26"/>
      <c r="L281" s="26"/>
      <c r="N281" s="89"/>
      <c r="O281" s="89"/>
    </row>
    <row r="282" spans="1:15" ht="12.75">
      <c r="A282" s="138"/>
      <c r="B282" s="139" t="s">
        <v>187</v>
      </c>
      <c r="C282" s="134" t="s">
        <v>45</v>
      </c>
      <c r="D282" s="84">
        <f>0.9*2.05+1.62*0.95</f>
        <v>3.384</v>
      </c>
      <c r="E282" s="69"/>
      <c r="F282" s="82"/>
      <c r="G282" s="26"/>
      <c r="H282" s="32"/>
      <c r="I282" s="26"/>
      <c r="L282" s="26"/>
      <c r="N282" s="89"/>
      <c r="O282" s="89"/>
    </row>
    <row r="283" spans="1:15" ht="12.75">
      <c r="A283" s="138"/>
      <c r="B283" s="139" t="s">
        <v>188</v>
      </c>
      <c r="C283" s="134" t="s">
        <v>45</v>
      </c>
      <c r="D283" s="84">
        <f>1.88*0.95+0.9*2.05</f>
        <v>3.631</v>
      </c>
      <c r="E283" s="69"/>
      <c r="F283" s="82"/>
      <c r="G283" s="26"/>
      <c r="H283" s="32"/>
      <c r="I283" s="26"/>
      <c r="L283" s="26"/>
      <c r="N283" s="89"/>
      <c r="O283" s="89"/>
    </row>
    <row r="284" spans="1:15" ht="12.75">
      <c r="A284" s="138"/>
      <c r="B284" s="139" t="s">
        <v>189</v>
      </c>
      <c r="C284" s="134" t="s">
        <v>45</v>
      </c>
      <c r="D284" s="84">
        <f>0.78*0.95+0.9*2.05</f>
        <v>2.586</v>
      </c>
      <c r="E284" s="69"/>
      <c r="F284" s="82"/>
      <c r="G284" s="26"/>
      <c r="H284" s="32"/>
      <c r="I284" s="26"/>
      <c r="L284" s="26"/>
      <c r="N284" s="89"/>
      <c r="O284" s="89"/>
    </row>
    <row r="285" spans="1:15" ht="12.75">
      <c r="A285" s="138"/>
      <c r="B285" s="139" t="s">
        <v>191</v>
      </c>
      <c r="C285" s="134" t="s">
        <v>45</v>
      </c>
      <c r="D285" s="84">
        <f>2.1*0.95</f>
        <v>1.9949999999999999</v>
      </c>
      <c r="E285" s="69"/>
      <c r="F285" s="82"/>
      <c r="G285" s="26"/>
      <c r="H285" s="32"/>
      <c r="I285" s="26"/>
      <c r="L285" s="26"/>
      <c r="N285" s="89"/>
      <c r="O285" s="89"/>
    </row>
    <row r="286" spans="1:15" ht="12.75">
      <c r="A286" s="138"/>
      <c r="B286" s="139" t="s">
        <v>53</v>
      </c>
      <c r="C286" s="134" t="s">
        <v>45</v>
      </c>
      <c r="D286" s="84">
        <f>SUM(D282:D285)</f>
        <v>11.595999999999998</v>
      </c>
      <c r="E286" s="69"/>
      <c r="F286" s="82">
        <f>D286*E286</f>
        <v>0</v>
      </c>
      <c r="G286" s="26">
        <v>150</v>
      </c>
      <c r="H286" s="32"/>
      <c r="I286" s="26"/>
      <c r="L286" s="26"/>
      <c r="N286" s="89">
        <f>E286*1.2</f>
        <v>0</v>
      </c>
      <c r="O286" s="89">
        <f>N286*D286</f>
        <v>0</v>
      </c>
    </row>
    <row r="287" spans="1:15" ht="15.75">
      <c r="A287" s="621">
        <v>9</v>
      </c>
      <c r="B287" s="675" t="s">
        <v>106</v>
      </c>
      <c r="C287" s="623"/>
      <c r="D287" s="667"/>
      <c r="E287" s="612" t="s">
        <v>105</v>
      </c>
      <c r="F287" s="673">
        <f>SUM(F256:F286)</f>
        <v>0</v>
      </c>
      <c r="G287" s="26"/>
      <c r="H287" s="32"/>
      <c r="I287" s="32"/>
      <c r="N287" s="615"/>
      <c r="O287" s="616">
        <f>SUM(O256:O286)</f>
        <v>0</v>
      </c>
    </row>
    <row r="288" spans="1:15" ht="12.75">
      <c r="A288" s="67"/>
      <c r="B288" s="119"/>
      <c r="C288" s="115"/>
      <c r="D288" s="120"/>
      <c r="E288" s="211"/>
      <c r="F288" s="121"/>
      <c r="G288" s="26"/>
      <c r="H288" s="32"/>
      <c r="I288" s="26"/>
      <c r="L288" s="26"/>
      <c r="N288" s="89"/>
      <c r="O288" s="89"/>
    </row>
    <row r="289" spans="1:15" ht="12.75">
      <c r="A289" s="49"/>
      <c r="B289" s="56"/>
      <c r="C289" s="57"/>
      <c r="D289" s="58"/>
      <c r="E289" s="59"/>
      <c r="F289" s="38"/>
      <c r="G289" s="26"/>
      <c r="H289" s="100"/>
      <c r="N289" s="89"/>
      <c r="O289" s="89"/>
    </row>
    <row r="290" spans="1:15" ht="15.75">
      <c r="A290" s="610">
        <v>10</v>
      </c>
      <c r="B290" s="666" t="s">
        <v>28</v>
      </c>
      <c r="C290" s="623"/>
      <c r="D290" s="667"/>
      <c r="E290" s="625"/>
      <c r="F290" s="1118"/>
      <c r="G290" s="1119"/>
      <c r="H290" s="1120"/>
      <c r="I290" s="1121"/>
      <c r="J290" s="1121"/>
      <c r="K290" s="1121"/>
      <c r="L290" s="1121"/>
      <c r="M290" s="1121"/>
      <c r="N290" s="1122"/>
      <c r="O290" s="1122"/>
    </row>
    <row r="291" spans="1:15" ht="25.5">
      <c r="A291" s="630" t="s">
        <v>38</v>
      </c>
      <c r="B291" s="629" t="s">
        <v>39</v>
      </c>
      <c r="C291" s="628" t="s">
        <v>40</v>
      </c>
      <c r="D291" s="628" t="s">
        <v>41</v>
      </c>
      <c r="E291" s="599" t="s">
        <v>1261</v>
      </c>
      <c r="F291" s="599" t="s">
        <v>1262</v>
      </c>
      <c r="G291" s="1123"/>
      <c r="H291" s="1124"/>
      <c r="I291" s="1124"/>
      <c r="J291" s="1125"/>
      <c r="K291" s="1125"/>
      <c r="L291" s="1124"/>
      <c r="M291" s="1125"/>
      <c r="N291" s="969" t="s">
        <v>1264</v>
      </c>
      <c r="O291" s="969" t="s">
        <v>1263</v>
      </c>
    </row>
    <row r="292" spans="1:15" ht="195.75" customHeight="1">
      <c r="A292" s="75"/>
      <c r="B292" s="1224" t="s">
        <v>118</v>
      </c>
      <c r="C292" s="1224"/>
      <c r="D292" s="1224"/>
      <c r="E292" s="1224"/>
      <c r="F292" s="1126"/>
      <c r="G292" s="1127"/>
      <c r="H292" s="1128"/>
      <c r="I292" s="1042"/>
      <c r="J292" s="1042"/>
      <c r="K292" s="1042"/>
      <c r="L292" s="1042"/>
      <c r="M292" s="1042"/>
      <c r="N292" s="1043"/>
      <c r="O292" s="1043"/>
    </row>
    <row r="293" spans="1:15" ht="102">
      <c r="A293" s="49">
        <v>10.01</v>
      </c>
      <c r="B293" s="76" t="s">
        <v>204</v>
      </c>
      <c r="C293" s="61"/>
      <c r="D293" s="7"/>
      <c r="E293" s="192"/>
      <c r="F293" s="1129"/>
      <c r="G293" s="1127"/>
      <c r="H293" s="1128"/>
      <c r="I293" s="1042"/>
      <c r="J293" s="1042"/>
      <c r="K293" s="1042"/>
      <c r="L293" s="1042"/>
      <c r="M293" s="1042"/>
      <c r="N293" s="1043"/>
      <c r="O293" s="1043"/>
    </row>
    <row r="294" spans="1:15" ht="12.75">
      <c r="A294" s="67"/>
      <c r="B294" s="204"/>
      <c r="C294" s="61" t="s">
        <v>71</v>
      </c>
      <c r="D294" s="205">
        <f>3.7*6</f>
        <v>22.200000000000003</v>
      </c>
      <c r="E294" s="69"/>
      <c r="F294" s="1129">
        <f>D294*E294</f>
        <v>0</v>
      </c>
      <c r="G294" s="1127">
        <v>85</v>
      </c>
      <c r="H294" s="1128"/>
      <c r="I294" s="1042"/>
      <c r="J294" s="1042"/>
      <c r="K294" s="1042"/>
      <c r="L294" s="1042"/>
      <c r="M294" s="1042"/>
      <c r="N294" s="1043">
        <f>E294*1.2</f>
        <v>0</v>
      </c>
      <c r="O294" s="1043">
        <f>N294*D294</f>
        <v>0</v>
      </c>
    </row>
    <row r="295" spans="1:15" ht="63.75">
      <c r="A295" s="206">
        <v>10.02</v>
      </c>
      <c r="B295" s="204" t="s">
        <v>219</v>
      </c>
      <c r="C295" s="61" t="s">
        <v>71</v>
      </c>
      <c r="D295" s="205">
        <f>3.7*6</f>
        <v>22.200000000000003</v>
      </c>
      <c r="E295" s="69"/>
      <c r="F295" s="1129">
        <f>D295*E295</f>
        <v>0</v>
      </c>
      <c r="G295" s="1127">
        <v>25</v>
      </c>
      <c r="H295" s="1128"/>
      <c r="I295" s="1042"/>
      <c r="J295" s="1042"/>
      <c r="K295" s="1042"/>
      <c r="L295" s="1042"/>
      <c r="M295" s="1042"/>
      <c r="N295" s="1043">
        <f>E295*1.2</f>
        <v>0</v>
      </c>
      <c r="O295" s="1043">
        <f>N295*D295</f>
        <v>0</v>
      </c>
    </row>
    <row r="296" spans="1:15" ht="102">
      <c r="A296" s="206">
        <v>10.03</v>
      </c>
      <c r="B296" s="76" t="s">
        <v>308</v>
      </c>
      <c r="C296" s="61" t="s">
        <v>71</v>
      </c>
      <c r="D296" s="205">
        <f>2*2.09+4*0.49</f>
        <v>6.14</v>
      </c>
      <c r="E296" s="69"/>
      <c r="F296" s="1129">
        <f>D296*E296</f>
        <v>0</v>
      </c>
      <c r="G296" s="1127">
        <v>95</v>
      </c>
      <c r="H296" s="1128"/>
      <c r="I296" s="1042"/>
      <c r="J296" s="1042"/>
      <c r="K296" s="1042"/>
      <c r="L296" s="1042"/>
      <c r="M296" s="1042"/>
      <c r="N296" s="1043">
        <f>E296*1.2</f>
        <v>0</v>
      </c>
      <c r="O296" s="1043">
        <f>N296*D296</f>
        <v>0</v>
      </c>
    </row>
    <row r="297" spans="1:15" ht="140.25">
      <c r="A297" s="206">
        <v>10.04</v>
      </c>
      <c r="B297" s="168" t="s">
        <v>119</v>
      </c>
      <c r="C297" s="194"/>
      <c r="D297" s="125"/>
      <c r="E297" s="125"/>
      <c r="F297" s="1042"/>
      <c r="G297" s="1042"/>
      <c r="H297" s="1128"/>
      <c r="I297" s="1042"/>
      <c r="J297" s="1042"/>
      <c r="K297" s="1042"/>
      <c r="L297" s="1042"/>
      <c r="M297" s="1042"/>
      <c r="N297" s="1043"/>
      <c r="O297" s="1043"/>
    </row>
    <row r="298" spans="1:15" ht="12.75">
      <c r="A298" s="206"/>
      <c r="B298" s="162" t="s">
        <v>206</v>
      </c>
      <c r="C298" s="61" t="s">
        <v>71</v>
      </c>
      <c r="D298" s="205">
        <f>6.62</f>
        <v>6.62</v>
      </c>
      <c r="E298" s="69"/>
      <c r="F298" s="1129">
        <f>D298*E298</f>
        <v>0</v>
      </c>
      <c r="G298" s="1127">
        <v>95</v>
      </c>
      <c r="H298" s="1128"/>
      <c r="I298" s="1042"/>
      <c r="J298" s="1042"/>
      <c r="K298" s="1042"/>
      <c r="L298" s="1042"/>
      <c r="M298" s="1042"/>
      <c r="N298" s="1043">
        <f>E298*1.2</f>
        <v>0</v>
      </c>
      <c r="O298" s="1043">
        <f>N298*D298</f>
        <v>0</v>
      </c>
    </row>
    <row r="299" spans="1:15" ht="12.75">
      <c r="A299" s="206"/>
      <c r="B299" s="162" t="s">
        <v>205</v>
      </c>
      <c r="C299" s="61" t="s">
        <v>71</v>
      </c>
      <c r="D299" s="205">
        <v>6.62</v>
      </c>
      <c r="E299" s="69"/>
      <c r="F299" s="1129">
        <f>D299*E299</f>
        <v>0</v>
      </c>
      <c r="G299" s="1127">
        <v>15</v>
      </c>
      <c r="H299" s="1128"/>
      <c r="I299" s="1042"/>
      <c r="J299" s="1042"/>
      <c r="K299" s="1042"/>
      <c r="L299" s="1042"/>
      <c r="M299" s="1042"/>
      <c r="N299" s="1043">
        <f>E299*1.2</f>
        <v>0</v>
      </c>
      <c r="O299" s="1043">
        <f>N299*D299</f>
        <v>0</v>
      </c>
    </row>
    <row r="300" spans="1:15" ht="12.75">
      <c r="A300" s="206"/>
      <c r="B300" s="162" t="s">
        <v>258</v>
      </c>
      <c r="C300" s="61" t="s">
        <v>71</v>
      </c>
      <c r="D300" s="205">
        <v>3.5</v>
      </c>
      <c r="E300" s="69"/>
      <c r="F300" s="1129">
        <f>D300*E300</f>
        <v>0</v>
      </c>
      <c r="G300" s="1127">
        <v>15</v>
      </c>
      <c r="H300" s="1128"/>
      <c r="I300" s="1042"/>
      <c r="J300" s="1042"/>
      <c r="K300" s="1042"/>
      <c r="L300" s="1042"/>
      <c r="M300" s="1042"/>
      <c r="N300" s="1043">
        <f>E300*1.2</f>
        <v>0</v>
      </c>
      <c r="O300" s="1043">
        <f>N300*D300</f>
        <v>0</v>
      </c>
    </row>
    <row r="301" spans="1:15" ht="63.75">
      <c r="A301" s="206">
        <v>10.05</v>
      </c>
      <c r="B301" s="162" t="s">
        <v>200</v>
      </c>
      <c r="C301" s="61" t="s">
        <v>71</v>
      </c>
      <c r="D301" s="205">
        <f>6.62</f>
        <v>6.62</v>
      </c>
      <c r="E301" s="69"/>
      <c r="F301" s="1129">
        <f>D301*E301</f>
        <v>0</v>
      </c>
      <c r="G301" s="1127">
        <v>85</v>
      </c>
      <c r="H301" s="1128"/>
      <c r="I301" s="1042"/>
      <c r="J301" s="1042"/>
      <c r="K301" s="1042"/>
      <c r="L301" s="1042"/>
      <c r="M301" s="1042"/>
      <c r="N301" s="1043">
        <f>E301*1.2</f>
        <v>0</v>
      </c>
      <c r="O301" s="1043">
        <f>N301*D301</f>
        <v>0</v>
      </c>
    </row>
    <row r="302" spans="1:15" ht="12.75">
      <c r="A302" s="206"/>
      <c r="B302" s="168"/>
      <c r="C302" s="57"/>
      <c r="D302" s="276"/>
      <c r="E302" s="69"/>
      <c r="F302" s="1129"/>
      <c r="G302" s="1127"/>
      <c r="H302" s="1128"/>
      <c r="I302" s="1042"/>
      <c r="J302" s="1042"/>
      <c r="K302" s="1042"/>
      <c r="L302" s="1042"/>
      <c r="M302" s="1042"/>
      <c r="N302" s="1043"/>
      <c r="O302" s="1043"/>
    </row>
    <row r="303" spans="1:15" ht="140.25">
      <c r="A303" s="8">
        <v>10.06</v>
      </c>
      <c r="B303" s="112" t="s">
        <v>313</v>
      </c>
      <c r="C303" s="61" t="s">
        <v>45</v>
      </c>
      <c r="D303" s="205">
        <v>77</v>
      </c>
      <c r="E303" s="192"/>
      <c r="F303" s="1129">
        <f>D303*E303</f>
        <v>0</v>
      </c>
      <c r="G303" s="1130"/>
      <c r="H303" s="1131"/>
      <c r="I303" s="1127"/>
      <c r="J303" s="1127"/>
      <c r="K303" s="1132"/>
      <c r="L303" s="1127"/>
      <c r="M303" s="1133"/>
      <c r="N303" s="1043">
        <f>E303*1.2</f>
        <v>0</v>
      </c>
      <c r="O303" s="1043">
        <f>N303*D303</f>
        <v>0</v>
      </c>
    </row>
    <row r="304" spans="1:15" ht="15.75">
      <c r="A304" s="685">
        <v>10</v>
      </c>
      <c r="B304" s="666" t="s">
        <v>28</v>
      </c>
      <c r="C304" s="686"/>
      <c r="D304" s="667"/>
      <c r="E304" s="612" t="s">
        <v>121</v>
      </c>
      <c r="F304" s="1134">
        <f>SUM(F293:F303)</f>
        <v>0</v>
      </c>
      <c r="G304" s="1119"/>
      <c r="H304" s="1120"/>
      <c r="I304" s="1121"/>
      <c r="J304" s="1121"/>
      <c r="K304" s="1121"/>
      <c r="L304" s="1121"/>
      <c r="M304" s="1121"/>
      <c r="N304" s="1122"/>
      <c r="O304" s="1135">
        <f>SUM(O293:O303)</f>
        <v>0</v>
      </c>
    </row>
    <row r="305" spans="1:15" ht="12.75">
      <c r="A305" s="49"/>
      <c r="B305" s="56"/>
      <c r="C305" s="57"/>
      <c r="D305" s="58"/>
      <c r="E305" s="59"/>
      <c r="F305" s="1136"/>
      <c r="G305" s="1127"/>
      <c r="H305" s="1128"/>
      <c r="I305" s="1042"/>
      <c r="J305" s="1042"/>
      <c r="K305" s="1042"/>
      <c r="L305" s="1042"/>
      <c r="M305" s="1042"/>
      <c r="N305" s="1043"/>
      <c r="O305" s="1043"/>
    </row>
    <row r="306" spans="1:15" ht="12.75">
      <c r="A306" s="49"/>
      <c r="B306" s="56"/>
      <c r="C306" s="57"/>
      <c r="D306" s="58"/>
      <c r="E306" s="59"/>
      <c r="F306" s="1137"/>
      <c r="G306" s="1127"/>
      <c r="H306" s="1128"/>
      <c r="I306" s="1042"/>
      <c r="J306" s="1042"/>
      <c r="K306" s="1042"/>
      <c r="L306" s="1042"/>
      <c r="M306" s="1042"/>
      <c r="N306" s="1043"/>
      <c r="O306" s="1043"/>
    </row>
    <row r="307" spans="1:23" s="65" customFormat="1" ht="15.75">
      <c r="A307" s="610">
        <v>11</v>
      </c>
      <c r="B307" s="666" t="s">
        <v>29</v>
      </c>
      <c r="C307" s="623"/>
      <c r="D307" s="667"/>
      <c r="E307" s="625"/>
      <c r="F307" s="1118"/>
      <c r="G307" s="1127"/>
      <c r="H307" s="1128"/>
      <c r="I307" s="1042"/>
      <c r="J307" s="1042"/>
      <c r="K307" s="1042"/>
      <c r="L307" s="1138"/>
      <c r="M307" s="1042"/>
      <c r="N307" s="1122"/>
      <c r="O307" s="1122"/>
      <c r="Q307" s="38"/>
      <c r="R307" s="38"/>
      <c r="S307" s="38"/>
      <c r="U307" s="38"/>
      <c r="V307" s="38"/>
      <c r="W307" s="38"/>
    </row>
    <row r="308" spans="1:15" ht="25.5">
      <c r="A308" s="630" t="s">
        <v>38</v>
      </c>
      <c r="B308" s="629" t="s">
        <v>39</v>
      </c>
      <c r="C308" s="628" t="s">
        <v>40</v>
      </c>
      <c r="D308" s="628" t="s">
        <v>41</v>
      </c>
      <c r="E308" s="599" t="s">
        <v>1261</v>
      </c>
      <c r="F308" s="599" t="s">
        <v>1262</v>
      </c>
      <c r="G308" s="1123"/>
      <c r="H308" s="1124"/>
      <c r="I308" s="1124"/>
      <c r="J308" s="1125"/>
      <c r="K308" s="1125"/>
      <c r="L308" s="1124"/>
      <c r="M308" s="1125"/>
      <c r="N308" s="969" t="s">
        <v>1264</v>
      </c>
      <c r="O308" s="969" t="s">
        <v>1263</v>
      </c>
    </row>
    <row r="309" spans="1:15" ht="173.25" customHeight="1">
      <c r="A309" s="8"/>
      <c r="B309" s="1190" t="s">
        <v>120</v>
      </c>
      <c r="C309" s="1191"/>
      <c r="D309" s="1191"/>
      <c r="E309" s="1191"/>
      <c r="F309" s="1139"/>
      <c r="G309" s="1127"/>
      <c r="H309" s="1128"/>
      <c r="I309" s="1042"/>
      <c r="J309" s="1042"/>
      <c r="K309" s="1042"/>
      <c r="L309" s="1042"/>
      <c r="M309" s="1042"/>
      <c r="N309" s="1043"/>
      <c r="O309" s="1043"/>
    </row>
    <row r="310" spans="1:15" ht="12.75">
      <c r="A310" s="49"/>
      <c r="B310" s="56"/>
      <c r="C310" s="192"/>
      <c r="D310" s="192"/>
      <c r="E310" s="192"/>
      <c r="F310" s="1041"/>
      <c r="G310" s="1127"/>
      <c r="H310" s="1128"/>
      <c r="I310" s="1042"/>
      <c r="J310" s="1042"/>
      <c r="K310" s="1042"/>
      <c r="L310" s="1042"/>
      <c r="M310" s="1042"/>
      <c r="N310" s="1043"/>
      <c r="O310" s="1043"/>
    </row>
    <row r="311" spans="1:15" ht="114.75">
      <c r="A311" s="8">
        <v>11.01</v>
      </c>
      <c r="B311" s="85" t="s">
        <v>309</v>
      </c>
      <c r="C311" s="6" t="s">
        <v>71</v>
      </c>
      <c r="D311" s="77">
        <v>83.8</v>
      </c>
      <c r="E311" s="69"/>
      <c r="F311" s="1040">
        <f>D311*E311</f>
        <v>0</v>
      </c>
      <c r="G311" s="1127">
        <v>11</v>
      </c>
      <c r="H311" s="1128"/>
      <c r="I311" s="1042"/>
      <c r="J311" s="1042"/>
      <c r="K311" s="1042"/>
      <c r="L311" s="1042"/>
      <c r="M311" s="1042"/>
      <c r="N311" s="1043">
        <f>E311*1.2</f>
        <v>0</v>
      </c>
      <c r="O311" s="1043">
        <f>N311*D311</f>
        <v>0</v>
      </c>
    </row>
    <row r="312" spans="1:15" ht="165.75">
      <c r="A312" s="8">
        <v>11.02</v>
      </c>
      <c r="B312" s="85" t="s">
        <v>310</v>
      </c>
      <c r="C312" s="6" t="s">
        <v>71</v>
      </c>
      <c r="D312" s="77">
        <f>14*2+18.75*2</f>
        <v>65.5</v>
      </c>
      <c r="E312" s="69"/>
      <c r="F312" s="1040">
        <f>D312*E312</f>
        <v>0</v>
      </c>
      <c r="G312" s="1127">
        <v>15</v>
      </c>
      <c r="H312" s="1128"/>
      <c r="I312" s="1042"/>
      <c r="J312" s="1042"/>
      <c r="K312" s="1042"/>
      <c r="L312" s="1042"/>
      <c r="M312" s="1042"/>
      <c r="N312" s="1043">
        <f>E312*1.2</f>
        <v>0</v>
      </c>
      <c r="O312" s="1043">
        <f>N312*D312</f>
        <v>0</v>
      </c>
    </row>
    <row r="313" spans="1:15" ht="114.75">
      <c r="A313" s="8">
        <v>11.03</v>
      </c>
      <c r="B313" s="201" t="s">
        <v>312</v>
      </c>
      <c r="C313" s="6" t="s">
        <v>71</v>
      </c>
      <c r="D313" s="77">
        <f>14*2+18.75*2</f>
        <v>65.5</v>
      </c>
      <c r="E313" s="69"/>
      <c r="F313" s="1040">
        <f>D313*E313</f>
        <v>0</v>
      </c>
      <c r="G313" s="1127">
        <v>20</v>
      </c>
      <c r="H313" s="1128"/>
      <c r="I313" s="1042"/>
      <c r="J313" s="1042"/>
      <c r="K313" s="1042"/>
      <c r="L313" s="1042"/>
      <c r="M313" s="1042"/>
      <c r="N313" s="1043">
        <f>E313*1.2</f>
        <v>0</v>
      </c>
      <c r="O313" s="1043">
        <f>N313*D313</f>
        <v>0</v>
      </c>
    </row>
    <row r="314" spans="1:15" ht="127.5">
      <c r="A314" s="8">
        <v>11.04</v>
      </c>
      <c r="B314" s="201" t="s">
        <v>311</v>
      </c>
      <c r="C314" s="6" t="s">
        <v>71</v>
      </c>
      <c r="D314" s="77">
        <f>11.06*6</f>
        <v>66.36</v>
      </c>
      <c r="E314" s="69"/>
      <c r="F314" s="1040">
        <f>D314*E314</f>
        <v>0</v>
      </c>
      <c r="G314" s="1127">
        <v>12</v>
      </c>
      <c r="H314" s="1128"/>
      <c r="I314" s="1042"/>
      <c r="J314" s="1042"/>
      <c r="K314" s="1042"/>
      <c r="L314" s="1042"/>
      <c r="M314" s="1042"/>
      <c r="N314" s="1043">
        <f>E314*1.2</f>
        <v>0</v>
      </c>
      <c r="O314" s="1043">
        <f>N314*D314</f>
        <v>0</v>
      </c>
    </row>
    <row r="315" spans="1:15" ht="15.75">
      <c r="A315" s="610">
        <v>11</v>
      </c>
      <c r="B315" s="676" t="s">
        <v>29</v>
      </c>
      <c r="C315" s="623"/>
      <c r="D315" s="660"/>
      <c r="E315" s="612" t="s">
        <v>122</v>
      </c>
      <c r="F315" s="1140">
        <f>SUM(F311:F314)</f>
        <v>0</v>
      </c>
      <c r="G315" s="1119"/>
      <c r="H315" s="1120"/>
      <c r="I315" s="1121"/>
      <c r="J315" s="1121"/>
      <c r="K315" s="1121"/>
      <c r="L315" s="1121"/>
      <c r="M315" s="1121"/>
      <c r="N315" s="1122"/>
      <c r="O315" s="1135">
        <f>SUM(O311:O314)</f>
        <v>0</v>
      </c>
    </row>
    <row r="316" spans="6:15" s="165" customFormat="1" ht="12.75">
      <c r="F316" s="1041"/>
      <c r="G316" s="1041"/>
      <c r="H316" s="1041"/>
      <c r="I316" s="1041"/>
      <c r="J316" s="1041"/>
      <c r="K316" s="1041"/>
      <c r="L316" s="1041"/>
      <c r="M316" s="1041"/>
      <c r="N316" s="1129"/>
      <c r="O316" s="1043"/>
    </row>
    <row r="317" spans="1:23" s="65" customFormat="1" ht="15.75">
      <c r="A317" s="10">
        <v>12</v>
      </c>
      <c r="B317" s="19" t="s">
        <v>30</v>
      </c>
      <c r="C317" s="9"/>
      <c r="D317" s="55"/>
      <c r="E317" s="30"/>
      <c r="F317" s="1141"/>
      <c r="G317" s="1127"/>
      <c r="H317" s="1128"/>
      <c r="I317" s="1042"/>
      <c r="J317" s="1042"/>
      <c r="K317" s="1042"/>
      <c r="L317" s="1138"/>
      <c r="M317" s="1042"/>
      <c r="N317" s="1122"/>
      <c r="O317" s="1122"/>
      <c r="Q317" s="38"/>
      <c r="R317" s="38"/>
      <c r="S317" s="38"/>
      <c r="U317" s="38"/>
      <c r="V317" s="38"/>
      <c r="W317" s="38"/>
    </row>
    <row r="318" spans="1:23" s="165" customFormat="1" ht="140.25">
      <c r="A318" s="284">
        <v>12.01</v>
      </c>
      <c r="B318" s="85" t="s">
        <v>314</v>
      </c>
      <c r="C318" s="6" t="s">
        <v>45</v>
      </c>
      <c r="D318" s="207"/>
      <c r="E318" s="207"/>
      <c r="F318" s="1041"/>
      <c r="G318" s="1041"/>
      <c r="H318" s="1142"/>
      <c r="I318" s="1041"/>
      <c r="J318" s="1042"/>
      <c r="K318" s="1042"/>
      <c r="L318" s="1041"/>
      <c r="M318" s="1042"/>
      <c r="N318" s="1043"/>
      <c r="O318" s="1043"/>
      <c r="Q318" s="38"/>
      <c r="R318" s="38"/>
      <c r="S318" s="38"/>
      <c r="U318" s="38"/>
      <c r="V318" s="38"/>
      <c r="W318" s="38"/>
    </row>
    <row r="319" spans="1:23" s="165" customFormat="1" ht="12.75">
      <c r="A319" s="277"/>
      <c r="B319" s="85" t="s">
        <v>196</v>
      </c>
      <c r="C319" s="6" t="s">
        <v>45</v>
      </c>
      <c r="D319" s="191">
        <f>20.3+53+59.5+4.5</f>
        <v>137.3</v>
      </c>
      <c r="E319" s="191"/>
      <c r="F319" s="1143"/>
      <c r="G319" s="1041"/>
      <c r="H319" s="1142"/>
      <c r="I319" s="1041"/>
      <c r="J319" s="1042"/>
      <c r="K319" s="1042"/>
      <c r="L319" s="1041"/>
      <c r="M319" s="1042"/>
      <c r="N319" s="1043"/>
      <c r="O319" s="1043"/>
      <c r="Q319" s="38"/>
      <c r="R319" s="38"/>
      <c r="S319" s="38"/>
      <c r="U319" s="38"/>
      <c r="V319" s="38"/>
      <c r="W319" s="38"/>
    </row>
    <row r="320" spans="1:23" s="165" customFormat="1" ht="12.75">
      <c r="A320" s="277"/>
      <c r="B320" s="85" t="s">
        <v>197</v>
      </c>
      <c r="C320" s="6" t="s">
        <v>45</v>
      </c>
      <c r="D320" s="143">
        <f>2*(0.4*3.65*4)+2*(0.4*3.15*4)+2*(0.4*3.86*4)</f>
        <v>34.111999999999995</v>
      </c>
      <c r="E320" s="69"/>
      <c r="F320" s="1144"/>
      <c r="G320" s="1127"/>
      <c r="H320" s="1142"/>
      <c r="I320" s="1041"/>
      <c r="J320" s="1042"/>
      <c r="K320" s="1042"/>
      <c r="L320" s="1041"/>
      <c r="M320" s="1042"/>
      <c r="N320" s="1043"/>
      <c r="O320" s="1043"/>
      <c r="Q320" s="38"/>
      <c r="R320" s="38"/>
      <c r="S320" s="38"/>
      <c r="U320" s="38"/>
      <c r="V320" s="38"/>
      <c r="W320" s="38"/>
    </row>
    <row r="321" spans="1:23" s="165" customFormat="1" ht="25.5">
      <c r="A321" s="277"/>
      <c r="B321" s="83" t="s">
        <v>247</v>
      </c>
      <c r="C321" s="6" t="s">
        <v>45</v>
      </c>
      <c r="D321" s="143">
        <f>5+1.27+1.75+1.9+2.7+2.2</f>
        <v>14.82</v>
      </c>
      <c r="E321" s="69"/>
      <c r="F321" s="1144"/>
      <c r="G321" s="1127"/>
      <c r="H321" s="1142"/>
      <c r="I321" s="1041"/>
      <c r="J321" s="1042"/>
      <c r="K321" s="1042"/>
      <c r="L321" s="1041"/>
      <c r="M321" s="1042"/>
      <c r="N321" s="1043"/>
      <c r="O321" s="1043"/>
      <c r="Q321" s="38"/>
      <c r="R321" s="38"/>
      <c r="S321" s="38"/>
      <c r="U321" s="38"/>
      <c r="V321" s="38"/>
      <c r="W321" s="38"/>
    </row>
    <row r="322" spans="1:23" s="165" customFormat="1" ht="12.75">
      <c r="A322" s="278"/>
      <c r="B322" s="83" t="s">
        <v>53</v>
      </c>
      <c r="C322" s="6" t="s">
        <v>45</v>
      </c>
      <c r="D322" s="77">
        <f>SUM(D319:D321)</f>
        <v>186.232</v>
      </c>
      <c r="E322" s="69"/>
      <c r="F322" s="1040">
        <f>D322*E322</f>
        <v>0</v>
      </c>
      <c r="G322" s="1127">
        <v>30</v>
      </c>
      <c r="H322" s="1142"/>
      <c r="I322" s="1041"/>
      <c r="J322" s="1042"/>
      <c r="K322" s="1042"/>
      <c r="L322" s="1041"/>
      <c r="M322" s="1042"/>
      <c r="N322" s="1043">
        <f>E322*1.2</f>
        <v>0</v>
      </c>
      <c r="O322" s="1043">
        <f>N322*D322</f>
        <v>0</v>
      </c>
      <c r="Q322" s="38"/>
      <c r="R322" s="38"/>
      <c r="S322" s="38"/>
      <c r="U322" s="38"/>
      <c r="V322" s="38"/>
      <c r="W322" s="38"/>
    </row>
    <row r="323" spans="1:15" ht="15.75">
      <c r="A323" s="610">
        <v>12</v>
      </c>
      <c r="B323" s="676" t="s">
        <v>30</v>
      </c>
      <c r="C323" s="9"/>
      <c r="D323" s="660"/>
      <c r="E323" s="612" t="s">
        <v>164</v>
      </c>
      <c r="F323" s="1140">
        <f>SUM(F318:F322)</f>
        <v>0</v>
      </c>
      <c r="G323" s="1119"/>
      <c r="H323" s="1120"/>
      <c r="I323" s="1121"/>
      <c r="J323" s="1121"/>
      <c r="K323" s="1121"/>
      <c r="L323" s="1121"/>
      <c r="M323" s="1121"/>
      <c r="N323" s="1122"/>
      <c r="O323" s="1135">
        <f>SUM(O318:O322)</f>
        <v>0</v>
      </c>
    </row>
    <row r="324" spans="1:15" ht="12.75">
      <c r="A324" s="38"/>
      <c r="B324" s="38"/>
      <c r="C324" s="38"/>
      <c r="D324" s="38"/>
      <c r="E324" s="38"/>
      <c r="F324" s="1042"/>
      <c r="G324" s="1042"/>
      <c r="H324" s="1042"/>
      <c r="I324" s="1042"/>
      <c r="J324" s="1042"/>
      <c r="K324" s="1042"/>
      <c r="L324" s="1042"/>
      <c r="M324" s="1042"/>
      <c r="N324" s="1043"/>
      <c r="O324" s="1043"/>
    </row>
    <row r="325" spans="1:15" ht="12.75">
      <c r="A325" s="38"/>
      <c r="B325" s="38"/>
      <c r="C325" s="38"/>
      <c r="D325" s="38"/>
      <c r="E325" s="38"/>
      <c r="F325" s="1042"/>
      <c r="G325" s="1042"/>
      <c r="H325" s="1042"/>
      <c r="I325" s="1042"/>
      <c r="J325" s="1042"/>
      <c r="K325" s="1042"/>
      <c r="L325" s="1042"/>
      <c r="M325" s="1042"/>
      <c r="N325" s="1043"/>
      <c r="O325" s="1043"/>
    </row>
    <row r="326" spans="1:15" ht="15.75">
      <c r="A326" s="610">
        <v>13</v>
      </c>
      <c r="B326" s="666" t="s">
        <v>123</v>
      </c>
      <c r="C326" s="677"/>
      <c r="D326" s="650"/>
      <c r="E326" s="625"/>
      <c r="F326" s="1118"/>
      <c r="G326" s="1127"/>
      <c r="H326" s="1128"/>
      <c r="I326" s="1042"/>
      <c r="J326" s="1042"/>
      <c r="K326" s="1042"/>
      <c r="L326" s="1042"/>
      <c r="M326" s="1042"/>
      <c r="N326" s="1122"/>
      <c r="O326" s="1122"/>
    </row>
    <row r="327" spans="1:15" ht="25.5">
      <c r="A327" s="630" t="s">
        <v>38</v>
      </c>
      <c r="B327" s="629" t="s">
        <v>39</v>
      </c>
      <c r="C327" s="628" t="s">
        <v>40</v>
      </c>
      <c r="D327" s="628" t="s">
        <v>41</v>
      </c>
      <c r="E327" s="599" t="s">
        <v>1261</v>
      </c>
      <c r="F327" s="599" t="s">
        <v>1262</v>
      </c>
      <c r="G327" s="1123"/>
      <c r="H327" s="1124"/>
      <c r="I327" s="1124"/>
      <c r="J327" s="1125"/>
      <c r="K327" s="1125"/>
      <c r="L327" s="1124"/>
      <c r="M327" s="1125"/>
      <c r="N327" s="969" t="s">
        <v>1264</v>
      </c>
      <c r="O327" s="969" t="s">
        <v>1263</v>
      </c>
    </row>
    <row r="328" spans="1:15" ht="168" customHeight="1">
      <c r="A328" s="49"/>
      <c r="B328" s="1190" t="s">
        <v>124</v>
      </c>
      <c r="C328" s="1191"/>
      <c r="D328" s="1191"/>
      <c r="E328" s="1191"/>
      <c r="F328" s="1139"/>
      <c r="G328" s="1145"/>
      <c r="H328" s="1128"/>
      <c r="I328" s="1042"/>
      <c r="J328" s="1042"/>
      <c r="K328" s="1042"/>
      <c r="L328" s="1042"/>
      <c r="M328" s="1042"/>
      <c r="N328" s="1043"/>
      <c r="O328" s="1043"/>
    </row>
    <row r="329" spans="1:15" ht="127.5">
      <c r="A329" s="49">
        <v>13.01</v>
      </c>
      <c r="B329" s="208" t="s">
        <v>234</v>
      </c>
      <c r="C329" s="209"/>
      <c r="D329" s="69"/>
      <c r="E329" s="69"/>
      <c r="F329" s="1040"/>
      <c r="G329" s="1145"/>
      <c r="H329" s="1128"/>
      <c r="I329" s="1042"/>
      <c r="J329" s="1042"/>
      <c r="K329" s="1042"/>
      <c r="L329" s="1042"/>
      <c r="M329" s="1042"/>
      <c r="N329" s="1043"/>
      <c r="O329" s="1043"/>
    </row>
    <row r="330" spans="1:15" ht="12.75">
      <c r="A330" s="67"/>
      <c r="B330" s="88" t="s">
        <v>67</v>
      </c>
      <c r="C330" s="86"/>
      <c r="D330" s="69"/>
      <c r="E330" s="89"/>
      <c r="F330" s="1043"/>
      <c r="G330" s="1145"/>
      <c r="H330" s="1128"/>
      <c r="I330" s="1042"/>
      <c r="J330" s="1042"/>
      <c r="K330" s="1042"/>
      <c r="L330" s="1042"/>
      <c r="M330" s="1042"/>
      <c r="N330" s="1043"/>
      <c r="O330" s="1043"/>
    </row>
    <row r="331" spans="1:15" ht="25.5">
      <c r="A331" s="67"/>
      <c r="B331" s="88" t="s">
        <v>4</v>
      </c>
      <c r="C331" s="6" t="s">
        <v>45</v>
      </c>
      <c r="D331" s="90">
        <f>(9.25*3.05-4.86-0.36)+(9.25*3.05-4.86-0.36)+(8.55*3.05-2.02-0.36)</f>
        <v>69.6825</v>
      </c>
      <c r="E331" s="69"/>
      <c r="F331" s="1040"/>
      <c r="G331" s="1145"/>
      <c r="H331" s="1128"/>
      <c r="I331" s="1042"/>
      <c r="J331" s="1042"/>
      <c r="K331" s="1042"/>
      <c r="L331" s="1042"/>
      <c r="M331" s="1042"/>
      <c r="N331" s="1043"/>
      <c r="O331" s="1043"/>
    </row>
    <row r="332" spans="1:15" ht="12.75">
      <c r="A332" s="67"/>
      <c r="B332" s="88" t="s">
        <v>177</v>
      </c>
      <c r="C332" s="6"/>
      <c r="D332" s="91"/>
      <c r="E332" s="69"/>
      <c r="F332" s="1040"/>
      <c r="G332" s="1145"/>
      <c r="H332" s="1128"/>
      <c r="I332" s="1042"/>
      <c r="J332" s="1042"/>
      <c r="K332" s="1042"/>
      <c r="L332" s="1042"/>
      <c r="M332" s="1042"/>
      <c r="N332" s="1043"/>
      <c r="O332" s="1043"/>
    </row>
    <row r="333" spans="1:15" ht="25.5">
      <c r="A333" s="67"/>
      <c r="B333" s="88" t="s">
        <v>5</v>
      </c>
      <c r="C333" s="6" t="s">
        <v>45</v>
      </c>
      <c r="D333" s="90">
        <f>(10.47*2.9-4.86-0.36)+(10.47*2.9-6.48-0.36)+(8.07*2.9-1.62-0.36)</f>
        <v>70.089</v>
      </c>
      <c r="E333" s="69"/>
      <c r="F333" s="1040"/>
      <c r="G333" s="1145"/>
      <c r="H333" s="1146"/>
      <c r="I333" s="1138"/>
      <c r="J333" s="1042"/>
      <c r="K333" s="1042"/>
      <c r="L333" s="1042"/>
      <c r="M333" s="1042"/>
      <c r="N333" s="1043"/>
      <c r="O333" s="1043"/>
    </row>
    <row r="334" spans="1:15" ht="12.75">
      <c r="A334" s="67"/>
      <c r="B334" s="88" t="s">
        <v>178</v>
      </c>
      <c r="C334" s="6"/>
      <c r="D334" s="91"/>
      <c r="E334" s="69"/>
      <c r="F334" s="1040"/>
      <c r="G334" s="1145"/>
      <c r="H334" s="1128"/>
      <c r="I334" s="1042"/>
      <c r="J334" s="1042"/>
      <c r="K334" s="1042"/>
      <c r="L334" s="1042"/>
      <c r="M334" s="1042"/>
      <c r="N334" s="1043"/>
      <c r="O334" s="1043"/>
    </row>
    <row r="335" spans="1:15" ht="25.5">
      <c r="A335" s="67"/>
      <c r="B335" s="88" t="s">
        <v>6</v>
      </c>
      <c r="C335" s="6" t="s">
        <v>45</v>
      </c>
      <c r="D335" s="88">
        <f>(10.47*3.2-4.86-0.36)+(10.47*3.2-4.86-0.36)+(9.67*3.2-1.62-0.36)</f>
        <v>85.53200000000001</v>
      </c>
      <c r="E335" s="69"/>
      <c r="F335" s="1040"/>
      <c r="G335" s="1145"/>
      <c r="H335" s="1128"/>
      <c r="I335" s="1042"/>
      <c r="J335" s="1042"/>
      <c r="K335" s="1042"/>
      <c r="L335" s="1042"/>
      <c r="M335" s="1042"/>
      <c r="N335" s="1043"/>
      <c r="O335" s="1043"/>
    </row>
    <row r="336" spans="1:15" ht="12.75">
      <c r="A336" s="68"/>
      <c r="B336" s="90" t="s">
        <v>53</v>
      </c>
      <c r="C336" s="6" t="s">
        <v>45</v>
      </c>
      <c r="D336" s="69">
        <f>SUM(D330:D335)</f>
        <v>225.3035</v>
      </c>
      <c r="E336" s="69"/>
      <c r="F336" s="1040">
        <f>D336*E336</f>
        <v>0</v>
      </c>
      <c r="G336" s="1145">
        <v>19</v>
      </c>
      <c r="H336" s="1128"/>
      <c r="I336" s="1042"/>
      <c r="J336" s="1042"/>
      <c r="K336" s="1042"/>
      <c r="L336" s="1042"/>
      <c r="M336" s="1042"/>
      <c r="N336" s="1043">
        <f>E336*1.2</f>
        <v>0</v>
      </c>
      <c r="O336" s="1043">
        <f>N336*D336</f>
        <v>0</v>
      </c>
    </row>
    <row r="337" spans="1:15" ht="114.75">
      <c r="A337" s="67">
        <v>13.02</v>
      </c>
      <c r="B337" s="208" t="s">
        <v>218</v>
      </c>
      <c r="C337" s="209"/>
      <c r="D337" s="69"/>
      <c r="E337" s="69"/>
      <c r="F337" s="1040"/>
      <c r="G337" s="1145"/>
      <c r="H337" s="1128"/>
      <c r="I337" s="1042"/>
      <c r="J337" s="1042"/>
      <c r="K337" s="1042"/>
      <c r="L337" s="1042"/>
      <c r="M337" s="1042"/>
      <c r="N337" s="1043"/>
      <c r="O337" s="1043"/>
    </row>
    <row r="338" spans="1:15" ht="12.75">
      <c r="A338" s="67"/>
      <c r="B338" s="88" t="s">
        <v>67</v>
      </c>
      <c r="C338" s="6"/>
      <c r="D338" s="90"/>
      <c r="E338" s="69"/>
      <c r="F338" s="1040"/>
      <c r="G338" s="1145"/>
      <c r="H338" s="1128"/>
      <c r="I338" s="1042"/>
      <c r="J338" s="1042"/>
      <c r="K338" s="1042"/>
      <c r="L338" s="1042"/>
      <c r="M338" s="1042"/>
      <c r="N338" s="1043"/>
      <c r="O338" s="1043"/>
    </row>
    <row r="339" spans="1:15" ht="12.75">
      <c r="A339" s="67"/>
      <c r="B339" s="88" t="s">
        <v>8</v>
      </c>
      <c r="C339" s="6" t="s">
        <v>45</v>
      </c>
      <c r="D339" s="90">
        <f>6.2+24.53+7.71+4.3+4.23+2.73+2.73</f>
        <v>52.42999999999999</v>
      </c>
      <c r="E339" s="69"/>
      <c r="F339" s="1040"/>
      <c r="G339" s="1145"/>
      <c r="H339" s="1128"/>
      <c r="I339" s="1042"/>
      <c r="J339" s="1042"/>
      <c r="K339" s="1042"/>
      <c r="L339" s="1042"/>
      <c r="M339" s="1042"/>
      <c r="N339" s="1043"/>
      <c r="O339" s="1043"/>
    </row>
    <row r="340" spans="1:15" ht="12.75">
      <c r="A340" s="67"/>
      <c r="B340" s="88" t="s">
        <v>177</v>
      </c>
      <c r="C340" s="86"/>
      <c r="D340" s="69"/>
      <c r="E340" s="69"/>
      <c r="F340" s="1040"/>
      <c r="G340" s="1145"/>
      <c r="H340" s="1128"/>
      <c r="I340" s="1042"/>
      <c r="J340" s="1042"/>
      <c r="K340" s="1042"/>
      <c r="L340" s="1042"/>
      <c r="M340" s="1042"/>
      <c r="N340" s="1043"/>
      <c r="O340" s="1043"/>
    </row>
    <row r="341" spans="1:15" ht="12.75">
      <c r="A341" s="67"/>
      <c r="B341" s="88" t="s">
        <v>9</v>
      </c>
      <c r="C341" s="6" t="s">
        <v>45</v>
      </c>
      <c r="D341" s="90">
        <f>35.44+20.7+3.52+3.52+3.23+4.2</f>
        <v>70.61000000000001</v>
      </c>
      <c r="E341" s="69"/>
      <c r="F341" s="1040"/>
      <c r="G341" s="1145"/>
      <c r="H341" s="1128"/>
      <c r="I341" s="1042"/>
      <c r="J341" s="1042"/>
      <c r="K341" s="1042"/>
      <c r="L341" s="1042"/>
      <c r="M341" s="1042"/>
      <c r="N341" s="1043"/>
      <c r="O341" s="1043"/>
    </row>
    <row r="342" spans="1:15" ht="12.75">
      <c r="A342" s="67"/>
      <c r="B342" s="88" t="s">
        <v>178</v>
      </c>
      <c r="C342" s="6"/>
      <c r="D342" s="91"/>
      <c r="E342" s="89"/>
      <c r="F342" s="1043"/>
      <c r="G342" s="1145"/>
      <c r="H342" s="1128"/>
      <c r="I342" s="1042"/>
      <c r="J342" s="1042"/>
      <c r="K342" s="1042"/>
      <c r="L342" s="1042"/>
      <c r="M342" s="1042"/>
      <c r="N342" s="1043"/>
      <c r="O342" s="1043"/>
    </row>
    <row r="343" spans="1:23" s="65" customFormat="1" ht="15">
      <c r="A343" s="67"/>
      <c r="B343" s="88" t="s">
        <v>7</v>
      </c>
      <c r="C343" s="6" t="s">
        <v>45</v>
      </c>
      <c r="D343" s="88">
        <f>24.81+12+5.58+3.52+2.52</f>
        <v>48.43000000000001</v>
      </c>
      <c r="E343" s="69"/>
      <c r="F343" s="1040"/>
      <c r="G343" s="1145"/>
      <c r="H343" s="1128"/>
      <c r="I343" s="1042"/>
      <c r="J343" s="1042"/>
      <c r="K343" s="1042"/>
      <c r="L343" s="1138"/>
      <c r="M343" s="1042"/>
      <c r="N343" s="1043"/>
      <c r="O343" s="1043"/>
      <c r="Q343" s="38"/>
      <c r="R343" s="38"/>
      <c r="S343" s="38"/>
      <c r="U343" s="38"/>
      <c r="V343" s="38"/>
      <c r="W343" s="38"/>
    </row>
    <row r="344" spans="1:23" s="65" customFormat="1" ht="15">
      <c r="A344" s="68"/>
      <c r="B344" s="90" t="s">
        <v>53</v>
      </c>
      <c r="C344" s="6" t="s">
        <v>45</v>
      </c>
      <c r="D344" s="69">
        <f>SUM(D338:D343)</f>
        <v>171.47000000000003</v>
      </c>
      <c r="E344" s="69"/>
      <c r="F344" s="1040">
        <f>D344*E344</f>
        <v>0</v>
      </c>
      <c r="G344" s="1145">
        <v>19</v>
      </c>
      <c r="H344" s="1128"/>
      <c r="I344" s="1042"/>
      <c r="J344" s="1042"/>
      <c r="K344" s="1042"/>
      <c r="L344" s="1138"/>
      <c r="M344" s="1042"/>
      <c r="N344" s="1043">
        <f>E344*1.2</f>
        <v>0</v>
      </c>
      <c r="O344" s="1043">
        <f>N344*D344</f>
        <v>0</v>
      </c>
      <c r="Q344" s="38"/>
      <c r="R344" s="38"/>
      <c r="S344" s="38"/>
      <c r="U344" s="38"/>
      <c r="V344" s="38"/>
      <c r="W344" s="38"/>
    </row>
    <row r="345" spans="1:23" s="65" customFormat="1" ht="76.5">
      <c r="A345" s="67">
        <v>13.03</v>
      </c>
      <c r="B345" s="208" t="s">
        <v>125</v>
      </c>
      <c r="C345" s="209"/>
      <c r="D345" s="69"/>
      <c r="E345" s="69"/>
      <c r="F345" s="1040"/>
      <c r="G345" s="1145"/>
      <c r="H345" s="1146"/>
      <c r="I345" s="1138"/>
      <c r="J345" s="1042"/>
      <c r="K345" s="1042"/>
      <c r="L345" s="1138"/>
      <c r="M345" s="1042"/>
      <c r="N345" s="1043"/>
      <c r="O345" s="1043"/>
      <c r="Q345" s="38"/>
      <c r="R345" s="38"/>
      <c r="S345" s="38"/>
      <c r="U345" s="38"/>
      <c r="V345" s="38"/>
      <c r="W345" s="38"/>
    </row>
    <row r="346" spans="1:23" s="65" customFormat="1" ht="15">
      <c r="A346" s="67"/>
      <c r="B346" s="88" t="s">
        <v>67</v>
      </c>
      <c r="C346" s="6"/>
      <c r="D346" s="90"/>
      <c r="E346" s="69"/>
      <c r="F346" s="1040"/>
      <c r="G346" s="1145"/>
      <c r="H346" s="1128"/>
      <c r="I346" s="1042"/>
      <c r="J346" s="1042"/>
      <c r="K346" s="1042"/>
      <c r="L346" s="1138"/>
      <c r="M346" s="1042"/>
      <c r="N346" s="1043"/>
      <c r="O346" s="1043"/>
      <c r="Q346" s="38"/>
      <c r="R346" s="38"/>
      <c r="S346" s="38"/>
      <c r="U346" s="38"/>
      <c r="V346" s="38"/>
      <c r="W346" s="38"/>
    </row>
    <row r="347" spans="1:23" s="65" customFormat="1" ht="25.5">
      <c r="A347" s="67"/>
      <c r="B347" s="88" t="s">
        <v>10</v>
      </c>
      <c r="C347" s="6" t="s">
        <v>71</v>
      </c>
      <c r="D347" s="90">
        <f>(2.71+2.67)+(3.78+1.13+0.2+0.9+0.3*2+0.7+0.3+0.7+1.2)+12.38+8.7</f>
        <v>35.97</v>
      </c>
      <c r="E347" s="69"/>
      <c r="F347" s="1040"/>
      <c r="G347" s="1145"/>
      <c r="H347" s="1128"/>
      <c r="I347" s="1042"/>
      <c r="J347" s="1042"/>
      <c r="K347" s="1042"/>
      <c r="L347" s="1138"/>
      <c r="M347" s="1042"/>
      <c r="N347" s="1043"/>
      <c r="O347" s="1043"/>
      <c r="Q347" s="38"/>
      <c r="R347" s="38"/>
      <c r="S347" s="38"/>
      <c r="U347" s="38"/>
      <c r="V347" s="38"/>
      <c r="W347" s="38"/>
    </row>
    <row r="348" spans="1:23" s="65" customFormat="1" ht="15">
      <c r="A348" s="67"/>
      <c r="B348" s="88" t="s">
        <v>177</v>
      </c>
      <c r="C348" s="86"/>
      <c r="D348" s="69"/>
      <c r="E348" s="89"/>
      <c r="F348" s="1043"/>
      <c r="G348" s="1145"/>
      <c r="H348" s="1146"/>
      <c r="I348" s="1138"/>
      <c r="J348" s="1042"/>
      <c r="K348" s="1042"/>
      <c r="L348" s="1138"/>
      <c r="M348" s="1042"/>
      <c r="N348" s="1043"/>
      <c r="O348" s="1043"/>
      <c r="Q348" s="38"/>
      <c r="R348" s="38"/>
      <c r="S348" s="38"/>
      <c r="U348" s="38"/>
      <c r="V348" s="38"/>
      <c r="W348" s="38"/>
    </row>
    <row r="349" spans="1:23" s="65" customFormat="1" ht="25.5">
      <c r="A349" s="67"/>
      <c r="B349" s="210" t="s">
        <v>11</v>
      </c>
      <c r="C349" s="6" t="s">
        <v>71</v>
      </c>
      <c r="D349" s="210">
        <f>(0.2+1.2+3+2.7+0.3+4.6+4+2.2+0.5+3.5+1.6+0.5)+17.36</f>
        <v>41.66</v>
      </c>
      <c r="E349" s="69"/>
      <c r="F349" s="1040"/>
      <c r="G349" s="1145"/>
      <c r="H349" s="1128"/>
      <c r="I349" s="1042"/>
      <c r="J349" s="1042"/>
      <c r="K349" s="1042"/>
      <c r="L349" s="1138"/>
      <c r="M349" s="1042"/>
      <c r="N349" s="1043"/>
      <c r="O349" s="1043"/>
      <c r="Q349" s="38"/>
      <c r="R349" s="38"/>
      <c r="S349" s="38"/>
      <c r="U349" s="38"/>
      <c r="V349" s="38"/>
      <c r="W349" s="38"/>
    </row>
    <row r="350" spans="1:23" s="65" customFormat="1" ht="15">
      <c r="A350" s="67"/>
      <c r="B350" s="88" t="s">
        <v>178</v>
      </c>
      <c r="C350" s="6"/>
      <c r="D350" s="91"/>
      <c r="E350" s="69"/>
      <c r="F350" s="1040"/>
      <c r="G350" s="1145"/>
      <c r="H350" s="1128"/>
      <c r="I350" s="1042"/>
      <c r="J350" s="1042"/>
      <c r="K350" s="1042"/>
      <c r="L350" s="1138"/>
      <c r="M350" s="1042"/>
      <c r="N350" s="1043"/>
      <c r="O350" s="1043"/>
      <c r="Q350" s="38"/>
      <c r="R350" s="38"/>
      <c r="S350" s="38"/>
      <c r="U350" s="38"/>
      <c r="V350" s="38"/>
      <c r="W350" s="38"/>
    </row>
    <row r="351" spans="1:23" s="65" customFormat="1" ht="25.5">
      <c r="A351" s="67"/>
      <c r="B351" s="88" t="s">
        <v>12</v>
      </c>
      <c r="C351" s="6" t="s">
        <v>71</v>
      </c>
      <c r="D351" s="90">
        <f>1.2+1.2+0.3+2.75+3.85+1.1+0.3+0.7+0.15+1.25+3+0.9</f>
        <v>16.7</v>
      </c>
      <c r="E351" s="69"/>
      <c r="F351" s="1040"/>
      <c r="G351" s="1145"/>
      <c r="H351" s="1128"/>
      <c r="I351" s="1042"/>
      <c r="J351" s="1042"/>
      <c r="K351" s="1042"/>
      <c r="L351" s="1138"/>
      <c r="M351" s="1042"/>
      <c r="N351" s="1043"/>
      <c r="O351" s="1043"/>
      <c r="Q351" s="38"/>
      <c r="R351" s="38"/>
      <c r="S351" s="38"/>
      <c r="U351" s="38"/>
      <c r="V351" s="38"/>
      <c r="W351" s="38"/>
    </row>
    <row r="352" spans="1:15" ht="12.75">
      <c r="A352" s="67"/>
      <c r="B352" s="90" t="s">
        <v>53</v>
      </c>
      <c r="C352" s="6" t="s">
        <v>71</v>
      </c>
      <c r="D352" s="69">
        <f>SUM(D346:D351)</f>
        <v>94.33</v>
      </c>
      <c r="E352" s="69"/>
      <c r="F352" s="1040">
        <f>D352*E352</f>
        <v>0</v>
      </c>
      <c r="G352" s="1147">
        <v>5.5</v>
      </c>
      <c r="H352" s="1128"/>
      <c r="I352" s="1042"/>
      <c r="J352" s="1042"/>
      <c r="K352" s="1042"/>
      <c r="L352" s="1042"/>
      <c r="M352" s="1042"/>
      <c r="N352" s="1043">
        <f>E352*1.2</f>
        <v>0</v>
      </c>
      <c r="O352" s="1043">
        <f>N352*D352</f>
        <v>0</v>
      </c>
    </row>
    <row r="353" spans="1:15" ht="114.75">
      <c r="A353" s="49">
        <v>13.04</v>
      </c>
      <c r="B353" s="208" t="s">
        <v>215</v>
      </c>
      <c r="C353" s="92"/>
      <c r="D353" s="211"/>
      <c r="E353" s="69"/>
      <c r="F353" s="1144"/>
      <c r="G353" s="1145"/>
      <c r="H353" s="1128"/>
      <c r="I353" s="1042"/>
      <c r="J353" s="1042"/>
      <c r="K353" s="1042"/>
      <c r="L353" s="1042"/>
      <c r="M353" s="1042"/>
      <c r="N353" s="1043"/>
      <c r="O353" s="1043"/>
    </row>
    <row r="354" spans="1:15" ht="12.75">
      <c r="A354" s="67"/>
      <c r="B354" s="87" t="s">
        <v>126</v>
      </c>
      <c r="C354" s="92"/>
      <c r="D354" s="211"/>
      <c r="E354" s="69"/>
      <c r="F354" s="1144"/>
      <c r="G354" s="1145"/>
      <c r="H354" s="1128"/>
      <c r="I354" s="1042"/>
      <c r="J354" s="1042"/>
      <c r="K354" s="1042"/>
      <c r="L354" s="1042"/>
      <c r="M354" s="1042"/>
      <c r="N354" s="1043"/>
      <c r="O354" s="1043"/>
    </row>
    <row r="355" spans="1:15" ht="12.75">
      <c r="A355" s="67"/>
      <c r="B355" s="87" t="s">
        <v>13</v>
      </c>
      <c r="C355" s="92" t="s">
        <v>71</v>
      </c>
      <c r="D355" s="93">
        <f>1.5*12*6</f>
        <v>108</v>
      </c>
      <c r="E355" s="69"/>
      <c r="F355" s="1144">
        <f>D355*E355</f>
        <v>0</v>
      </c>
      <c r="G355" s="1145">
        <v>7.5</v>
      </c>
      <c r="H355" s="1128"/>
      <c r="I355" s="1042"/>
      <c r="J355" s="1042"/>
      <c r="K355" s="1042"/>
      <c r="L355" s="1042"/>
      <c r="M355" s="1042"/>
      <c r="N355" s="1043">
        <f>E355*1.2</f>
        <v>0</v>
      </c>
      <c r="O355" s="1043">
        <f>N355*D355</f>
        <v>0</v>
      </c>
    </row>
    <row r="356" spans="1:15" ht="12.75">
      <c r="A356" s="67"/>
      <c r="B356" s="87" t="s">
        <v>127</v>
      </c>
      <c r="C356" s="92"/>
      <c r="D356" s="211"/>
      <c r="E356" s="69"/>
      <c r="F356" s="1144"/>
      <c r="G356" s="1145"/>
      <c r="H356" s="1128"/>
      <c r="I356" s="1042"/>
      <c r="J356" s="1042"/>
      <c r="K356" s="1042"/>
      <c r="L356" s="1042"/>
      <c r="M356" s="1042"/>
      <c r="N356" s="1043"/>
      <c r="O356" s="1043"/>
    </row>
    <row r="357" spans="1:15" ht="12.75">
      <c r="A357" s="68"/>
      <c r="B357" s="87" t="s">
        <v>14</v>
      </c>
      <c r="C357" s="92" t="s">
        <v>71</v>
      </c>
      <c r="D357" s="90">
        <f>(0.3*12*6)+(6*3)</f>
        <v>39.599999999999994</v>
      </c>
      <c r="E357" s="69"/>
      <c r="F357" s="1144">
        <f>D357*E357</f>
        <v>0</v>
      </c>
      <c r="G357" s="1145">
        <v>5.5</v>
      </c>
      <c r="H357" s="1128"/>
      <c r="I357" s="1042"/>
      <c r="J357" s="1042"/>
      <c r="K357" s="1042"/>
      <c r="L357" s="1042"/>
      <c r="M357" s="1042"/>
      <c r="N357" s="1043">
        <f>E357*1.2</f>
        <v>0</v>
      </c>
      <c r="O357" s="1043">
        <f>N357*D357</f>
        <v>0</v>
      </c>
    </row>
    <row r="358" spans="1:15" ht="114.75">
      <c r="A358" s="49">
        <v>13.05</v>
      </c>
      <c r="B358" s="208" t="s">
        <v>216</v>
      </c>
      <c r="C358" s="92"/>
      <c r="D358" s="211"/>
      <c r="E358" s="69"/>
      <c r="F358" s="1144"/>
      <c r="G358" s="1145"/>
      <c r="H358" s="1128"/>
      <c r="I358" s="1042"/>
      <c r="J358" s="1042"/>
      <c r="K358" s="1042"/>
      <c r="L358" s="1042"/>
      <c r="M358" s="1042"/>
      <c r="N358" s="1043"/>
      <c r="O358" s="1043"/>
    </row>
    <row r="359" spans="1:15" ht="12.75">
      <c r="A359" s="68"/>
      <c r="B359" s="212" t="s">
        <v>15</v>
      </c>
      <c r="C359" s="92" t="s">
        <v>45</v>
      </c>
      <c r="D359" s="93">
        <f>(1.5*0.3*12*6)+(3*1.5*3)</f>
        <v>45.9</v>
      </c>
      <c r="E359" s="69"/>
      <c r="F359" s="1144">
        <f>D359*E359</f>
        <v>0</v>
      </c>
      <c r="G359" s="1145">
        <v>19</v>
      </c>
      <c r="H359" s="1128"/>
      <c r="I359" s="1042"/>
      <c r="J359" s="1042"/>
      <c r="K359" s="1042"/>
      <c r="L359" s="1042"/>
      <c r="M359" s="1042"/>
      <c r="N359" s="1043">
        <f>E359*1.2</f>
        <v>0</v>
      </c>
      <c r="O359" s="1043">
        <f>N359*D359</f>
        <v>0</v>
      </c>
    </row>
    <row r="360" spans="1:15" ht="89.25">
      <c r="A360" s="68">
        <v>13.06</v>
      </c>
      <c r="B360" s="213" t="s">
        <v>180</v>
      </c>
      <c r="C360" s="6"/>
      <c r="D360" s="214"/>
      <c r="E360" s="69"/>
      <c r="F360" s="1144"/>
      <c r="G360" s="1145"/>
      <c r="H360" s="1128"/>
      <c r="I360" s="1042"/>
      <c r="J360" s="1042"/>
      <c r="K360" s="1042"/>
      <c r="L360" s="1042"/>
      <c r="M360" s="1042"/>
      <c r="N360" s="1043"/>
      <c r="O360" s="1043"/>
    </row>
    <row r="361" spans="1:15" ht="12.75">
      <c r="A361" s="68"/>
      <c r="B361" s="212"/>
      <c r="C361" s="92" t="s">
        <v>45</v>
      </c>
      <c r="D361" s="93">
        <f>1.74+1.4*6.25</f>
        <v>10.49</v>
      </c>
      <c r="E361" s="69"/>
      <c r="F361" s="1144">
        <f>D361*E361</f>
        <v>0</v>
      </c>
      <c r="G361" s="1145">
        <v>18</v>
      </c>
      <c r="H361" s="1128"/>
      <c r="I361" s="1042"/>
      <c r="J361" s="1042"/>
      <c r="K361" s="1042"/>
      <c r="L361" s="1042"/>
      <c r="M361" s="1042"/>
      <c r="N361" s="1043">
        <f>E361*1.2</f>
        <v>0</v>
      </c>
      <c r="O361" s="1043">
        <f>N361*D361</f>
        <v>0</v>
      </c>
    </row>
    <row r="362" spans="1:15" ht="102">
      <c r="A362" s="68">
        <v>13.07</v>
      </c>
      <c r="B362" s="213" t="s">
        <v>217</v>
      </c>
      <c r="C362" s="92"/>
      <c r="D362" s="214"/>
      <c r="E362" s="69"/>
      <c r="F362" s="1144"/>
      <c r="G362" s="1145"/>
      <c r="H362" s="1128"/>
      <c r="I362" s="1042"/>
      <c r="J362" s="1042"/>
      <c r="K362" s="1042"/>
      <c r="L362" s="1042"/>
      <c r="M362" s="1042"/>
      <c r="N362" s="1043"/>
      <c r="O362" s="1043"/>
    </row>
    <row r="363" spans="1:15" ht="12.75">
      <c r="A363" s="68"/>
      <c r="B363" s="212" t="s">
        <v>128</v>
      </c>
      <c r="C363" s="92" t="s">
        <v>45</v>
      </c>
      <c r="D363" s="93">
        <f>6</f>
        <v>6</v>
      </c>
      <c r="E363" s="125"/>
      <c r="F363" s="1042"/>
      <c r="G363" s="1042"/>
      <c r="H363" s="1128"/>
      <c r="I363" s="1042"/>
      <c r="J363" s="1042"/>
      <c r="K363" s="1042"/>
      <c r="L363" s="1042"/>
      <c r="M363" s="1042"/>
      <c r="N363" s="1043"/>
      <c r="O363" s="1043"/>
    </row>
    <row r="364" spans="1:15" ht="12.75">
      <c r="A364" s="68"/>
      <c r="B364" s="212" t="s">
        <v>129</v>
      </c>
      <c r="C364" s="6" t="s">
        <v>45</v>
      </c>
      <c r="D364" s="93">
        <f>1.37+1.2+0.95+4.82*0.125+3.85*0.125+3.18*0.125+0.3*(0.25+0.0275)+1.8*0.125</f>
        <v>5.3095</v>
      </c>
      <c r="E364" s="125"/>
      <c r="F364" s="1148"/>
      <c r="G364" s="1042"/>
      <c r="H364" s="1128"/>
      <c r="I364" s="1042"/>
      <c r="J364" s="1042"/>
      <c r="K364" s="1042"/>
      <c r="L364" s="1042"/>
      <c r="M364" s="1042"/>
      <c r="N364" s="1043"/>
      <c r="O364" s="1043"/>
    </row>
    <row r="365" spans="1:15" ht="12.75">
      <c r="A365" s="68"/>
      <c r="B365" s="93" t="s">
        <v>53</v>
      </c>
      <c r="C365" s="92" t="s">
        <v>45</v>
      </c>
      <c r="D365" s="214">
        <f>SUM(D363:D364)</f>
        <v>11.3095</v>
      </c>
      <c r="E365" s="69"/>
      <c r="F365" s="1144">
        <f>D365*E365</f>
        <v>0</v>
      </c>
      <c r="G365" s="1145">
        <v>18</v>
      </c>
      <c r="H365" s="1128"/>
      <c r="I365" s="1042"/>
      <c r="J365" s="1042"/>
      <c r="K365" s="1042"/>
      <c r="L365" s="1042"/>
      <c r="M365" s="1042"/>
      <c r="N365" s="1043">
        <f>E365*1.2</f>
        <v>0</v>
      </c>
      <c r="O365" s="1043">
        <f>N365*D365</f>
        <v>0</v>
      </c>
    </row>
    <row r="366" spans="1:15" ht="15.75">
      <c r="A366" s="610">
        <v>13</v>
      </c>
      <c r="B366" s="666" t="s">
        <v>123</v>
      </c>
      <c r="C366" s="677"/>
      <c r="D366" s="650"/>
      <c r="E366" s="612" t="s">
        <v>132</v>
      </c>
      <c r="F366" s="1140">
        <f>SUM(F329:F365)</f>
        <v>0</v>
      </c>
      <c r="G366" s="1149"/>
      <c r="H366" s="1120"/>
      <c r="I366" s="1121"/>
      <c r="J366" s="1121"/>
      <c r="K366" s="1121"/>
      <c r="L366" s="1121"/>
      <c r="M366" s="1121"/>
      <c r="N366" s="1122"/>
      <c r="O366" s="1135">
        <f>SUM(O329:O365)</f>
        <v>0</v>
      </c>
    </row>
    <row r="367" spans="1:15" ht="12.75">
      <c r="A367" s="38"/>
      <c r="B367" s="38"/>
      <c r="C367" s="38"/>
      <c r="D367" s="38"/>
      <c r="E367" s="38"/>
      <c r="F367" s="1042"/>
      <c r="G367" s="1042"/>
      <c r="H367" s="1042"/>
      <c r="I367" s="1042"/>
      <c r="J367" s="1042"/>
      <c r="K367" s="1042"/>
      <c r="L367" s="1042"/>
      <c r="M367" s="1042"/>
      <c r="N367" s="1043"/>
      <c r="O367" s="1043"/>
    </row>
    <row r="368" spans="1:15" ht="12.75">
      <c r="A368" s="38"/>
      <c r="B368" s="38"/>
      <c r="C368" s="38"/>
      <c r="D368" s="38"/>
      <c r="E368" s="38"/>
      <c r="F368" s="1042"/>
      <c r="G368" s="1042"/>
      <c r="H368" s="1042"/>
      <c r="I368" s="1042"/>
      <c r="J368" s="1042"/>
      <c r="K368" s="1042"/>
      <c r="L368" s="1042"/>
      <c r="M368" s="1042"/>
      <c r="N368" s="1043"/>
      <c r="O368" s="1043"/>
    </row>
    <row r="369" spans="1:15" ht="15.75">
      <c r="A369" s="610">
        <v>14</v>
      </c>
      <c r="B369" s="666" t="s">
        <v>32</v>
      </c>
      <c r="C369" s="677"/>
      <c r="D369" s="667"/>
      <c r="E369" s="625"/>
      <c r="F369" s="1118"/>
      <c r="G369" s="1149"/>
      <c r="H369" s="1120"/>
      <c r="I369" s="1121"/>
      <c r="J369" s="1121"/>
      <c r="K369" s="1121"/>
      <c r="L369" s="1121"/>
      <c r="M369" s="1121"/>
      <c r="N369" s="1122"/>
      <c r="O369" s="1122"/>
    </row>
    <row r="370" spans="1:15" ht="25.5">
      <c r="A370" s="630" t="s">
        <v>38</v>
      </c>
      <c r="B370" s="629" t="s">
        <v>39</v>
      </c>
      <c r="C370" s="628" t="s">
        <v>40</v>
      </c>
      <c r="D370" s="628" t="s">
        <v>41</v>
      </c>
      <c r="E370" s="599" t="s">
        <v>1261</v>
      </c>
      <c r="F370" s="599" t="s">
        <v>1262</v>
      </c>
      <c r="G370" s="1123"/>
      <c r="H370" s="1124"/>
      <c r="I370" s="1124"/>
      <c r="J370" s="1125"/>
      <c r="K370" s="1125"/>
      <c r="L370" s="1124"/>
      <c r="M370" s="1125"/>
      <c r="N370" s="969" t="s">
        <v>1264</v>
      </c>
      <c r="O370" s="969" t="s">
        <v>1263</v>
      </c>
    </row>
    <row r="371" spans="1:15" ht="172.5" customHeight="1">
      <c r="A371" s="94"/>
      <c r="B371" s="1213" t="s">
        <v>130</v>
      </c>
      <c r="C371" s="1213"/>
      <c r="D371" s="1213"/>
      <c r="E371" s="1213"/>
      <c r="F371" s="1150"/>
      <c r="G371" s="1145"/>
      <c r="H371" s="1128"/>
      <c r="I371" s="1042"/>
      <c r="J371" s="1042"/>
      <c r="K371" s="1042"/>
      <c r="L371" s="1042"/>
      <c r="M371" s="1042"/>
      <c r="N371" s="1043"/>
      <c r="O371" s="1043"/>
    </row>
    <row r="372" spans="1:15" ht="229.5">
      <c r="A372" s="49">
        <v>14.01</v>
      </c>
      <c r="B372" s="216" t="s">
        <v>131</v>
      </c>
      <c r="C372" s="209"/>
      <c r="D372" s="8"/>
      <c r="E372" s="147"/>
      <c r="F372" s="1040"/>
      <c r="G372" s="1145"/>
      <c r="H372" s="1128"/>
      <c r="I372" s="1042"/>
      <c r="J372" s="1042"/>
      <c r="K372" s="1042"/>
      <c r="L372" s="1042"/>
      <c r="M372" s="1042"/>
      <c r="N372" s="1043"/>
      <c r="O372" s="1043"/>
    </row>
    <row r="373" spans="1:15" ht="12.75">
      <c r="A373" s="67"/>
      <c r="B373" s="95" t="s">
        <v>67</v>
      </c>
      <c r="C373" s="6" t="s">
        <v>45</v>
      </c>
      <c r="D373" s="38">
        <f>7.19+20.69+45.98+36+14.26</f>
        <v>124.12</v>
      </c>
      <c r="E373" s="124"/>
      <c r="F373" s="1042"/>
      <c r="G373" s="1042"/>
      <c r="H373" s="1128"/>
      <c r="I373" s="1042"/>
      <c r="J373" s="1042"/>
      <c r="K373" s="1042"/>
      <c r="L373" s="1042"/>
      <c r="M373" s="1042"/>
      <c r="N373" s="1043"/>
      <c r="O373" s="1043"/>
    </row>
    <row r="374" spans="1:15" ht="12.75">
      <c r="A374" s="67"/>
      <c r="B374" s="95" t="s">
        <v>177</v>
      </c>
      <c r="C374" s="6" t="s">
        <v>45</v>
      </c>
      <c r="D374" s="135">
        <f>14.75+15.24+15+29.85+14.7+15.14+15.31</f>
        <v>119.99000000000001</v>
      </c>
      <c r="E374" s="69"/>
      <c r="F374" s="1040"/>
      <c r="G374" s="1145"/>
      <c r="H374" s="1128"/>
      <c r="I374" s="1042"/>
      <c r="J374" s="1042"/>
      <c r="K374" s="1042"/>
      <c r="L374" s="1042"/>
      <c r="M374" s="1042"/>
      <c r="N374" s="1043"/>
      <c r="O374" s="1043"/>
    </row>
    <row r="375" spans="1:15" ht="12.75">
      <c r="A375" s="67"/>
      <c r="B375" s="95" t="s">
        <v>175</v>
      </c>
      <c r="C375" s="6" t="s">
        <v>45</v>
      </c>
      <c r="D375" s="135">
        <f>15+11.25+29.85+30.47+13.97+16.41+20.69</f>
        <v>137.64</v>
      </c>
      <c r="E375" s="69"/>
      <c r="F375" s="1040"/>
      <c r="G375" s="1145"/>
      <c r="H375" s="1128"/>
      <c r="I375" s="1042"/>
      <c r="J375" s="1042"/>
      <c r="K375" s="1042"/>
      <c r="L375" s="1042"/>
      <c r="M375" s="1042"/>
      <c r="N375" s="1043"/>
      <c r="O375" s="1043"/>
    </row>
    <row r="376" spans="1:15" ht="12.75">
      <c r="A376" s="68"/>
      <c r="B376" s="96" t="s">
        <v>53</v>
      </c>
      <c r="C376" s="125" t="s">
        <v>45</v>
      </c>
      <c r="D376" s="96">
        <f>D373+D374+D375</f>
        <v>381.75</v>
      </c>
      <c r="E376" s="69"/>
      <c r="F376" s="1040">
        <f>E376*D376</f>
        <v>0</v>
      </c>
      <c r="G376" s="1145">
        <v>17</v>
      </c>
      <c r="H376" s="1128"/>
      <c r="I376" s="1042"/>
      <c r="J376" s="1042"/>
      <c r="K376" s="1042"/>
      <c r="L376" s="1042"/>
      <c r="M376" s="1042"/>
      <c r="N376" s="1043">
        <f>E376*1.2</f>
        <v>0</v>
      </c>
      <c r="O376" s="1043">
        <f>N376*D376</f>
        <v>0</v>
      </c>
    </row>
    <row r="377" spans="1:15" s="150" customFormat="1" ht="216.75">
      <c r="A377" s="81">
        <v>14.02</v>
      </c>
      <c r="B377" s="286" t="s">
        <v>321</v>
      </c>
      <c r="C377" s="74" t="s">
        <v>45</v>
      </c>
      <c r="D377" s="150">
        <v>191.8</v>
      </c>
      <c r="E377" s="182"/>
      <c r="F377" s="1151">
        <f>E377*D377</f>
        <v>0</v>
      </c>
      <c r="G377" s="1152">
        <v>12</v>
      </c>
      <c r="H377" s="1153"/>
      <c r="I377" s="1154"/>
      <c r="J377" s="1154"/>
      <c r="K377" s="1154"/>
      <c r="L377" s="1154"/>
      <c r="M377" s="1154"/>
      <c r="N377" s="1043">
        <f>E377*1.2</f>
        <v>0</v>
      </c>
      <c r="O377" s="1043">
        <f>N377*D377</f>
        <v>0</v>
      </c>
    </row>
    <row r="378" spans="1:15" ht="15.75">
      <c r="A378" s="610">
        <v>14</v>
      </c>
      <c r="B378" s="666" t="s">
        <v>32</v>
      </c>
      <c r="C378" s="677"/>
      <c r="D378" s="667"/>
      <c r="E378" s="612" t="s">
        <v>143</v>
      </c>
      <c r="F378" s="1140">
        <f>SUM(F372:F377)</f>
        <v>0</v>
      </c>
      <c r="G378" s="1149"/>
      <c r="H378" s="1120"/>
      <c r="I378" s="1121"/>
      <c r="J378" s="1121"/>
      <c r="K378" s="1121"/>
      <c r="L378" s="1121"/>
      <c r="M378" s="1121"/>
      <c r="N378" s="1122"/>
      <c r="O378" s="1135">
        <f>SUM(O372:O377)</f>
        <v>0</v>
      </c>
    </row>
    <row r="379" spans="1:15" ht="12.75">
      <c r="A379" s="113"/>
      <c r="B379" s="114"/>
      <c r="C379" s="115"/>
      <c r="D379" s="116"/>
      <c r="E379" s="211"/>
      <c r="F379" s="1144"/>
      <c r="G379" s="1145"/>
      <c r="H379" s="1128"/>
      <c r="I379" s="1042"/>
      <c r="J379" s="1042"/>
      <c r="K379" s="1042"/>
      <c r="L379" s="1042"/>
      <c r="M379" s="1042"/>
      <c r="N379" s="1043"/>
      <c r="O379" s="1043"/>
    </row>
    <row r="380" spans="1:15" ht="15.75">
      <c r="A380" s="621">
        <v>15</v>
      </c>
      <c r="B380" s="675" t="s">
        <v>33</v>
      </c>
      <c r="C380" s="677"/>
      <c r="D380" s="650"/>
      <c r="E380" s="650"/>
      <c r="F380" s="1155"/>
      <c r="G380" s="1149"/>
      <c r="H380" s="1156"/>
      <c r="I380" s="1156"/>
      <c r="J380" s="1121"/>
      <c r="K380" s="1121"/>
      <c r="L380" s="1121"/>
      <c r="M380" s="1121"/>
      <c r="N380" s="1122"/>
      <c r="O380" s="1122"/>
    </row>
    <row r="381" spans="1:15" ht="25.5">
      <c r="A381" s="630" t="s">
        <v>38</v>
      </c>
      <c r="B381" s="629" t="s">
        <v>39</v>
      </c>
      <c r="C381" s="628" t="s">
        <v>40</v>
      </c>
      <c r="D381" s="628" t="s">
        <v>41</v>
      </c>
      <c r="E381" s="599" t="s">
        <v>1261</v>
      </c>
      <c r="F381" s="599" t="s">
        <v>1262</v>
      </c>
      <c r="G381" s="1123"/>
      <c r="H381" s="1124"/>
      <c r="I381" s="1124"/>
      <c r="J381" s="1125"/>
      <c r="K381" s="1125"/>
      <c r="L381" s="1124"/>
      <c r="M381" s="1125"/>
      <c r="N381" s="969" t="s">
        <v>1264</v>
      </c>
      <c r="O381" s="969" t="s">
        <v>1263</v>
      </c>
    </row>
    <row r="382" spans="1:15" ht="191.25">
      <c r="A382" s="169">
        <v>15.01</v>
      </c>
      <c r="B382" s="216" t="s">
        <v>245</v>
      </c>
      <c r="C382" s="8"/>
      <c r="D382" s="8"/>
      <c r="E382" s="147"/>
      <c r="F382" s="1040"/>
      <c r="G382" s="1145"/>
      <c r="H382" s="1128"/>
      <c r="I382" s="1042"/>
      <c r="J382" s="1042"/>
      <c r="K382" s="1042"/>
      <c r="L382" s="1042"/>
      <c r="M382" s="1042"/>
      <c r="N382" s="1043"/>
      <c r="O382" s="1043"/>
    </row>
    <row r="383" spans="1:15" ht="25.5">
      <c r="A383" s="217"/>
      <c r="B383" s="106" t="s">
        <v>181</v>
      </c>
      <c r="C383" s="6"/>
      <c r="D383" s="7"/>
      <c r="E383" s="192"/>
      <c r="F383" s="1157"/>
      <c r="G383" s="1145"/>
      <c r="H383" s="1128"/>
      <c r="I383" s="1042"/>
      <c r="J383" s="1042"/>
      <c r="K383" s="1042"/>
      <c r="L383" s="1042"/>
      <c r="M383" s="1042"/>
      <c r="N383" s="1043"/>
      <c r="O383" s="1043"/>
    </row>
    <row r="384" spans="1:15" ht="12.75">
      <c r="A384" s="218"/>
      <c r="B384" s="106" t="s">
        <v>67</v>
      </c>
      <c r="C384" s="219" t="s">
        <v>45</v>
      </c>
      <c r="D384" s="27">
        <f>4.5*3.35</f>
        <v>15.075000000000001</v>
      </c>
      <c r="E384" s="192"/>
      <c r="F384" s="1158"/>
      <c r="G384" s="1145"/>
      <c r="H384" s="1128"/>
      <c r="I384" s="1159"/>
      <c r="J384" s="1042"/>
      <c r="K384" s="1042"/>
      <c r="L384" s="1042"/>
      <c r="M384" s="1042"/>
      <c r="N384" s="1043"/>
      <c r="O384" s="1043"/>
    </row>
    <row r="385" spans="1:15" ht="12.75">
      <c r="A385" s="8"/>
      <c r="B385" s="95" t="s">
        <v>177</v>
      </c>
      <c r="C385" s="6" t="s">
        <v>45</v>
      </c>
      <c r="D385" s="124">
        <f>5*3.2+4.85*3.2+8.65*3.2-3*0.91*2+12.6*3.2-4*0.91*2+4.5*3.2*2</f>
        <v>115.58</v>
      </c>
      <c r="E385" s="124"/>
      <c r="F385" s="1042"/>
      <c r="G385" s="1042"/>
      <c r="H385" s="1128"/>
      <c r="I385" s="1042"/>
      <c r="J385" s="1042"/>
      <c r="K385" s="1042"/>
      <c r="L385" s="1042"/>
      <c r="M385" s="1042"/>
      <c r="N385" s="1043"/>
      <c r="O385" s="1043"/>
    </row>
    <row r="386" spans="1:15" ht="12.75">
      <c r="A386" s="8"/>
      <c r="B386" s="220" t="s">
        <v>241</v>
      </c>
      <c r="C386" s="221"/>
      <c r="D386" s="109">
        <f>(4.85*3.2)+(8.65*3.2-2*0.91*2)+(2.5*3.2-0.91*2)+(12.6*3.2-4*0.91*2)+(4.5*3.2)*3</f>
        <v>121.98</v>
      </c>
      <c r="E386" s="69"/>
      <c r="F386" s="1040"/>
      <c r="G386" s="1145"/>
      <c r="H386" s="1128"/>
      <c r="I386" s="1042"/>
      <c r="J386" s="1042"/>
      <c r="K386" s="1042"/>
      <c r="L386" s="1042"/>
      <c r="M386" s="1042"/>
      <c r="N386" s="1043"/>
      <c r="O386" s="1043"/>
    </row>
    <row r="387" spans="1:15" ht="12.75">
      <c r="A387" s="8"/>
      <c r="B387" s="95" t="s">
        <v>133</v>
      </c>
      <c r="C387" s="6"/>
      <c r="D387" s="136">
        <f>D384+D385+D386</f>
        <v>252.635</v>
      </c>
      <c r="E387" s="222"/>
      <c r="F387" s="1160">
        <f>E387*D387</f>
        <v>0</v>
      </c>
      <c r="G387" s="1145">
        <v>21</v>
      </c>
      <c r="H387" s="1128"/>
      <c r="I387" s="1042"/>
      <c r="J387" s="1042"/>
      <c r="K387" s="1042"/>
      <c r="L387" s="1042"/>
      <c r="M387" s="1042"/>
      <c r="N387" s="1043">
        <f>E387*1.2</f>
        <v>0</v>
      </c>
      <c r="O387" s="1043">
        <f>N387*D387</f>
        <v>0</v>
      </c>
    </row>
    <row r="388" spans="1:15" s="128" customFormat="1" ht="12.75">
      <c r="A388" s="279"/>
      <c r="B388" s="253"/>
      <c r="C388" s="137"/>
      <c r="D388" s="136"/>
      <c r="E388" s="222"/>
      <c r="F388" s="1160"/>
      <c r="G388" s="1145"/>
      <c r="H388" s="1161"/>
      <c r="I388" s="126"/>
      <c r="J388" s="127"/>
      <c r="K388" s="1161"/>
      <c r="L388" s="127"/>
      <c r="M388" s="1161"/>
      <c r="N388" s="1043"/>
      <c r="O388" s="1043"/>
    </row>
    <row r="389" spans="1:15" s="128" customFormat="1" ht="191.25">
      <c r="A389" s="223">
        <v>15.03</v>
      </c>
      <c r="B389" s="216" t="s">
        <v>242</v>
      </c>
      <c r="C389" s="224"/>
      <c r="D389" s="225"/>
      <c r="E389" s="69"/>
      <c r="F389" s="1040"/>
      <c r="G389" s="1145"/>
      <c r="H389" s="1161"/>
      <c r="I389" s="126"/>
      <c r="J389" s="127"/>
      <c r="K389" s="1161"/>
      <c r="L389" s="127"/>
      <c r="M389" s="1161"/>
      <c r="N389" s="1043"/>
      <c r="O389" s="1043"/>
    </row>
    <row r="390" spans="1:15" s="128" customFormat="1" ht="12.75">
      <c r="A390" s="226"/>
      <c r="B390" s="227" t="s">
        <v>67</v>
      </c>
      <c r="C390" s="228"/>
      <c r="D390" s="229">
        <f>(2.1*3.35-2*2*0.81)+(2*2.73*3.35)</f>
        <v>22.086</v>
      </c>
      <c r="E390" s="69"/>
      <c r="F390" s="1040"/>
      <c r="G390" s="1145"/>
      <c r="H390" s="1161"/>
      <c r="I390" s="126"/>
      <c r="J390" s="127"/>
      <c r="K390" s="1161"/>
      <c r="L390" s="127"/>
      <c r="M390" s="1161"/>
      <c r="N390" s="1043"/>
      <c r="O390" s="1043"/>
    </row>
    <row r="391" spans="1:15" s="128" customFormat="1" ht="12.75">
      <c r="A391" s="226"/>
      <c r="B391" s="227" t="s">
        <v>177</v>
      </c>
      <c r="C391" s="228"/>
      <c r="D391" s="229">
        <f>2.5*3.2-2*0.81*2+2.94*3.2+2.94*3.2-0.81*2</f>
        <v>21.956</v>
      </c>
      <c r="E391" s="69"/>
      <c r="F391" s="1040"/>
      <c r="G391" s="1145"/>
      <c r="H391" s="1161"/>
      <c r="I391" s="126"/>
      <c r="J391" s="127"/>
      <c r="K391" s="1161"/>
      <c r="L391" s="127"/>
      <c r="M391" s="1161"/>
      <c r="N391" s="1043"/>
      <c r="O391" s="1043"/>
    </row>
    <row r="392" spans="1:15" s="128" customFormat="1" ht="12.75">
      <c r="A392" s="226"/>
      <c r="B392" s="227" t="s">
        <v>178</v>
      </c>
      <c r="C392" s="228"/>
      <c r="D392" s="229">
        <f>2.5*3.2-2*0.81*2+2.94*3.2*2</f>
        <v>23.576</v>
      </c>
      <c r="E392" s="69"/>
      <c r="F392" s="1040"/>
      <c r="G392" s="1145"/>
      <c r="H392" s="1161"/>
      <c r="I392" s="126"/>
      <c r="J392" s="127"/>
      <c r="K392" s="1161"/>
      <c r="L392" s="127"/>
      <c r="M392" s="1161"/>
      <c r="N392" s="1043"/>
      <c r="O392" s="1043"/>
    </row>
    <row r="393" spans="1:15" s="128" customFormat="1" ht="12.75">
      <c r="A393" s="226"/>
      <c r="B393" s="230" t="s">
        <v>53</v>
      </c>
      <c r="C393" s="228" t="s">
        <v>45</v>
      </c>
      <c r="D393" s="229">
        <f>SUM(D390:D392)</f>
        <v>67.618</v>
      </c>
      <c r="E393" s="69"/>
      <c r="F393" s="1040">
        <f>D393*E393</f>
        <v>0</v>
      </c>
      <c r="G393" s="1145">
        <v>23</v>
      </c>
      <c r="H393" s="1161"/>
      <c r="I393" s="126"/>
      <c r="J393" s="127"/>
      <c r="K393" s="1161"/>
      <c r="L393" s="127"/>
      <c r="M393" s="1161"/>
      <c r="N393" s="1043">
        <f>E393*1.2</f>
        <v>0</v>
      </c>
      <c r="O393" s="1043">
        <f>N393*D393</f>
        <v>0</v>
      </c>
    </row>
    <row r="394" spans="1:15" s="128" customFormat="1" ht="216.75">
      <c r="A394" s="223">
        <v>15.04</v>
      </c>
      <c r="B394" s="216" t="s">
        <v>315</v>
      </c>
      <c r="C394" s="228"/>
      <c r="D394" s="229"/>
      <c r="E394" s="69"/>
      <c r="F394" s="1040"/>
      <c r="G394" s="1145"/>
      <c r="H394" s="1161"/>
      <c r="I394" s="126"/>
      <c r="J394" s="127"/>
      <c r="K394" s="1161"/>
      <c r="L394" s="127"/>
      <c r="M394" s="1161"/>
      <c r="N394" s="1043"/>
      <c r="O394" s="1043"/>
    </row>
    <row r="395" spans="1:15" s="128" customFormat="1" ht="12.75">
      <c r="A395" s="226"/>
      <c r="B395" s="227" t="s">
        <v>67</v>
      </c>
      <c r="C395" s="228"/>
      <c r="D395" s="229">
        <f>3.75*3.35-0.81*2-0.81*2-1.01*2</f>
        <v>7.302499999999998</v>
      </c>
      <c r="E395" s="69"/>
      <c r="F395" s="1040"/>
      <c r="G395" s="1145"/>
      <c r="H395" s="1161"/>
      <c r="I395" s="126"/>
      <c r="J395" s="127"/>
      <c r="K395" s="1161"/>
      <c r="L395" s="127"/>
      <c r="M395" s="1161"/>
      <c r="N395" s="1043"/>
      <c r="O395" s="1043"/>
    </row>
    <row r="396" spans="1:15" s="128" customFormat="1" ht="12.75">
      <c r="A396" s="226"/>
      <c r="B396" s="227" t="s">
        <v>177</v>
      </c>
      <c r="C396" s="228"/>
      <c r="D396" s="229">
        <f>3.7*3.2-0.81*2-0.81*2+4*3.2-0.91*2+4.14*3.2-0.91*2</f>
        <v>31.008000000000003</v>
      </c>
      <c r="E396" s="69"/>
      <c r="F396" s="1040"/>
      <c r="G396" s="1145"/>
      <c r="H396" s="1161"/>
      <c r="I396" s="126"/>
      <c r="J396" s="127"/>
      <c r="K396" s="1161"/>
      <c r="L396" s="127"/>
      <c r="M396" s="1161"/>
      <c r="N396" s="1043"/>
      <c r="O396" s="1043"/>
    </row>
    <row r="397" spans="1:15" s="128" customFormat="1" ht="12.75">
      <c r="A397" s="226"/>
      <c r="B397" s="227" t="s">
        <v>178</v>
      </c>
      <c r="C397" s="228"/>
      <c r="D397" s="229">
        <f>4*3.2-0.91*2+4.5*3.2-3*0.81*2+4.14*3.2-0.91*2</f>
        <v>31.948</v>
      </c>
      <c r="E397" s="69"/>
      <c r="F397" s="1040"/>
      <c r="G397" s="1145"/>
      <c r="H397" s="1161"/>
      <c r="I397" s="126"/>
      <c r="J397" s="127"/>
      <c r="K397" s="1161"/>
      <c r="L397" s="127"/>
      <c r="M397" s="1161"/>
      <c r="N397" s="1043"/>
      <c r="O397" s="1043"/>
    </row>
    <row r="398" spans="1:15" s="128" customFormat="1" ht="12.75">
      <c r="A398" s="226"/>
      <c r="B398" s="230"/>
      <c r="C398" s="228" t="s">
        <v>45</v>
      </c>
      <c r="D398" s="229">
        <f>SUM(D395:D397)</f>
        <v>70.2585</v>
      </c>
      <c r="E398" s="69"/>
      <c r="F398" s="1040">
        <f>D398*E398</f>
        <v>0</v>
      </c>
      <c r="G398" s="1145">
        <v>22</v>
      </c>
      <c r="H398" s="1161"/>
      <c r="I398" s="126"/>
      <c r="J398" s="127"/>
      <c r="K398" s="1161"/>
      <c r="L398" s="127"/>
      <c r="M398" s="1161"/>
      <c r="N398" s="1043">
        <f>E398*1.2</f>
        <v>0</v>
      </c>
      <c r="O398" s="1043">
        <f>N398*D398</f>
        <v>0</v>
      </c>
    </row>
    <row r="399" spans="1:15" s="128" customFormat="1" ht="12.75">
      <c r="A399" s="226"/>
      <c r="B399" s="230"/>
      <c r="C399" s="228"/>
      <c r="D399" s="229"/>
      <c r="E399" s="69"/>
      <c r="F399" s="1040"/>
      <c r="G399" s="1145"/>
      <c r="H399" s="1161"/>
      <c r="I399" s="126"/>
      <c r="J399" s="127"/>
      <c r="K399" s="1161"/>
      <c r="L399" s="127"/>
      <c r="M399" s="1161"/>
      <c r="N399" s="1043"/>
      <c r="O399" s="1043"/>
    </row>
    <row r="400" spans="1:15" s="128" customFormat="1" ht="178.5">
      <c r="A400" s="231">
        <v>15.05</v>
      </c>
      <c r="B400" s="216" t="s">
        <v>243</v>
      </c>
      <c r="C400" s="6" t="s">
        <v>45</v>
      </c>
      <c r="D400" s="96">
        <f>255</f>
        <v>255</v>
      </c>
      <c r="E400" s="69"/>
      <c r="F400" s="1040">
        <f>E400*D400</f>
        <v>0</v>
      </c>
      <c r="G400" s="1145">
        <v>10</v>
      </c>
      <c r="H400" s="1161"/>
      <c r="I400" s="126"/>
      <c r="J400" s="127"/>
      <c r="K400" s="1161"/>
      <c r="L400" s="127"/>
      <c r="M400" s="1161"/>
      <c r="N400" s="1043">
        <f>E400*1.2</f>
        <v>0</v>
      </c>
      <c r="O400" s="1043">
        <f>N400*D400</f>
        <v>0</v>
      </c>
    </row>
    <row r="401" spans="1:15" ht="178.5">
      <c r="A401" s="81">
        <v>15.06</v>
      </c>
      <c r="B401" s="232" t="s">
        <v>244</v>
      </c>
      <c r="C401" s="233"/>
      <c r="D401" s="234"/>
      <c r="E401" s="235"/>
      <c r="F401" s="1162"/>
      <c r="G401" s="1163"/>
      <c r="H401" s="1164"/>
      <c r="I401" s="1164"/>
      <c r="J401" s="1164"/>
      <c r="K401" s="1164"/>
      <c r="L401" s="1164"/>
      <c r="M401" s="1164"/>
      <c r="N401" s="1043"/>
      <c r="O401" s="1043"/>
    </row>
    <row r="402" spans="1:15" s="128" customFormat="1" ht="12.75">
      <c r="A402" s="226"/>
      <c r="B402" s="236" t="s">
        <v>134</v>
      </c>
      <c r="C402" s="237"/>
      <c r="D402" s="238"/>
      <c r="E402" s="239"/>
      <c r="F402" s="240"/>
      <c r="G402" s="280"/>
      <c r="H402" s="280"/>
      <c r="I402" s="126"/>
      <c r="J402" s="127"/>
      <c r="K402" s="280"/>
      <c r="L402" s="127"/>
      <c r="M402" s="280"/>
      <c r="N402" s="1043"/>
      <c r="O402" s="1043"/>
    </row>
    <row r="403" spans="1:15" s="128" customFormat="1" ht="25.5">
      <c r="A403" s="226"/>
      <c r="B403" s="241" t="s">
        <v>135</v>
      </c>
      <c r="C403" s="226"/>
      <c r="D403" s="242"/>
      <c r="E403" s="243"/>
      <c r="F403" s="240"/>
      <c r="G403" s="281"/>
      <c r="H403" s="1161"/>
      <c r="I403" s="126"/>
      <c r="J403" s="127"/>
      <c r="K403" s="1161"/>
      <c r="L403" s="127"/>
      <c r="M403" s="1161"/>
      <c r="N403" s="1043"/>
      <c r="O403" s="1043"/>
    </row>
    <row r="404" spans="1:15" s="128" customFormat="1" ht="25.5">
      <c r="A404" s="226"/>
      <c r="B404" s="241" t="s">
        <v>136</v>
      </c>
      <c r="C404" s="226"/>
      <c r="D404" s="242"/>
      <c r="E404" s="243"/>
      <c r="F404" s="240"/>
      <c r="G404" s="281"/>
      <c r="H404" s="1161"/>
      <c r="I404" s="126"/>
      <c r="J404" s="127"/>
      <c r="K404" s="1161"/>
      <c r="L404" s="127"/>
      <c r="M404" s="1161"/>
      <c r="N404" s="1043"/>
      <c r="O404" s="1043"/>
    </row>
    <row r="405" spans="1:15" s="128" customFormat="1" ht="12.75">
      <c r="A405" s="226"/>
      <c r="B405" s="241" t="s">
        <v>137</v>
      </c>
      <c r="C405" s="226"/>
      <c r="D405" s="242"/>
      <c r="E405" s="243"/>
      <c r="F405" s="240"/>
      <c r="G405" s="281"/>
      <c r="H405" s="1161"/>
      <c r="I405" s="126"/>
      <c r="J405" s="127"/>
      <c r="K405" s="1161"/>
      <c r="L405" s="127"/>
      <c r="M405" s="1161"/>
      <c r="N405" s="1043"/>
      <c r="O405" s="1043"/>
    </row>
    <row r="406" spans="1:15" s="128" customFormat="1" ht="25.5">
      <c r="A406" s="226"/>
      <c r="B406" s="241" t="s">
        <v>138</v>
      </c>
      <c r="C406" s="226"/>
      <c r="D406" s="242"/>
      <c r="E406" s="243"/>
      <c r="F406" s="240"/>
      <c r="G406" s="281"/>
      <c r="H406" s="1161"/>
      <c r="I406" s="126"/>
      <c r="J406" s="127"/>
      <c r="K406" s="1161"/>
      <c r="L406" s="127"/>
      <c r="M406" s="1161"/>
      <c r="N406" s="1043"/>
      <c r="O406" s="1043"/>
    </row>
    <row r="407" spans="1:15" s="128" customFormat="1" ht="12.75">
      <c r="A407" s="228"/>
      <c r="B407" s="244" t="s">
        <v>139</v>
      </c>
      <c r="C407" s="228"/>
      <c r="D407" s="245"/>
      <c r="E407" s="246"/>
      <c r="F407" s="247"/>
      <c r="G407" s="281"/>
      <c r="H407" s="1161"/>
      <c r="I407" s="126"/>
      <c r="J407" s="127"/>
      <c r="K407" s="1161"/>
      <c r="L407" s="127"/>
      <c r="M407" s="1161"/>
      <c r="N407" s="1043"/>
      <c r="O407" s="1043"/>
    </row>
    <row r="408" spans="1:15" s="128" customFormat="1" ht="12.75">
      <c r="A408" s="226"/>
      <c r="B408" s="248" t="s">
        <v>67</v>
      </c>
      <c r="C408" s="228" t="s">
        <v>45</v>
      </c>
      <c r="D408" s="229">
        <f>2.62+2.62+4.23</f>
        <v>9.47</v>
      </c>
      <c r="E408" s="246"/>
      <c r="F408" s="247"/>
      <c r="G408" s="1145"/>
      <c r="H408" s="1161"/>
      <c r="I408" s="126"/>
      <c r="J408" s="127"/>
      <c r="K408" s="1161"/>
      <c r="L408" s="127"/>
      <c r="M408" s="1161"/>
      <c r="N408" s="1043"/>
      <c r="O408" s="1043"/>
    </row>
    <row r="409" spans="1:15" s="128" customFormat="1" ht="12.75">
      <c r="A409" s="226"/>
      <c r="B409" s="248" t="s">
        <v>177</v>
      </c>
      <c r="C409" s="228" t="s">
        <v>45</v>
      </c>
      <c r="D409" s="229">
        <f>3.39+3.4+3.23</f>
        <v>10.02</v>
      </c>
      <c r="E409" s="249"/>
      <c r="F409" s="250"/>
      <c r="G409" s="1145"/>
      <c r="H409" s="1161"/>
      <c r="I409" s="126"/>
      <c r="J409" s="127"/>
      <c r="K409" s="1161"/>
      <c r="L409" s="127"/>
      <c r="M409" s="1161"/>
      <c r="N409" s="1043"/>
      <c r="O409" s="1043"/>
    </row>
    <row r="410" spans="1:15" s="128" customFormat="1" ht="12.75">
      <c r="A410" s="228"/>
      <c r="B410" s="227" t="s">
        <v>53</v>
      </c>
      <c r="C410" s="228" t="s">
        <v>45</v>
      </c>
      <c r="D410" s="229">
        <f>SUM(D408:D409)</f>
        <v>19.490000000000002</v>
      </c>
      <c r="E410" s="69"/>
      <c r="F410" s="1040">
        <f>E410*D410</f>
        <v>0</v>
      </c>
      <c r="G410" s="1145">
        <v>11</v>
      </c>
      <c r="H410" s="1161"/>
      <c r="I410" s="126"/>
      <c r="J410" s="127"/>
      <c r="K410" s="1161"/>
      <c r="L410" s="127"/>
      <c r="M410" s="1161"/>
      <c r="N410" s="1043">
        <f>E410*1.2</f>
        <v>0</v>
      </c>
      <c r="O410" s="1043">
        <f>N410*D410</f>
        <v>0</v>
      </c>
    </row>
    <row r="411" spans="1:15" s="128" customFormat="1" ht="12.75">
      <c r="A411" s="224"/>
      <c r="B411" s="227"/>
      <c r="C411" s="228"/>
      <c r="D411" s="229"/>
      <c r="E411" s="249"/>
      <c r="F411" s="250"/>
      <c r="G411" s="1145"/>
      <c r="H411" s="1161"/>
      <c r="I411" s="126"/>
      <c r="J411" s="127"/>
      <c r="K411" s="1161"/>
      <c r="L411" s="127"/>
      <c r="M411" s="1161"/>
      <c r="N411" s="1043"/>
      <c r="O411" s="1043"/>
    </row>
    <row r="412" spans="1:15" s="128" customFormat="1" ht="216.75">
      <c r="A412" s="231">
        <v>15.07</v>
      </c>
      <c r="B412" s="216" t="s">
        <v>213</v>
      </c>
      <c r="C412" s="228"/>
      <c r="D412" s="229"/>
      <c r="E412" s="249"/>
      <c r="F412" s="250"/>
      <c r="G412" s="1145"/>
      <c r="H412" s="1161"/>
      <c r="I412" s="126"/>
      <c r="J412" s="127"/>
      <c r="K412" s="1161"/>
      <c r="L412" s="127"/>
      <c r="M412" s="1161"/>
      <c r="N412" s="1043"/>
      <c r="O412" s="1043"/>
    </row>
    <row r="413" spans="1:15" s="128" customFormat="1" ht="12.75">
      <c r="A413" s="224"/>
      <c r="B413" s="227" t="s">
        <v>67</v>
      </c>
      <c r="C413" s="228" t="s">
        <v>45</v>
      </c>
      <c r="D413" s="229">
        <f>46+1.44+7.2+15.3+24.47</f>
        <v>94.41</v>
      </c>
      <c r="E413" s="249"/>
      <c r="F413" s="250"/>
      <c r="G413" s="1145"/>
      <c r="H413" s="1161"/>
      <c r="I413" s="126"/>
      <c r="J413" s="127"/>
      <c r="K413" s="1161"/>
      <c r="L413" s="127"/>
      <c r="M413" s="1161"/>
      <c r="N413" s="1043"/>
      <c r="O413" s="1043"/>
    </row>
    <row r="414" spans="1:15" s="128" customFormat="1" ht="12.75">
      <c r="A414" s="224"/>
      <c r="B414" s="227" t="s">
        <v>177</v>
      </c>
      <c r="C414" s="228" t="s">
        <v>45</v>
      </c>
      <c r="D414" s="229">
        <f>2.16*3+1.44+29.8+1.08*2+15.3</f>
        <v>55.17999999999999</v>
      </c>
      <c r="E414" s="249"/>
      <c r="F414" s="250"/>
      <c r="G414" s="1145"/>
      <c r="H414" s="1161"/>
      <c r="I414" s="126"/>
      <c r="J414" s="127"/>
      <c r="K414" s="1161"/>
      <c r="L414" s="127"/>
      <c r="M414" s="1161"/>
      <c r="N414" s="1043"/>
      <c r="O414" s="1043"/>
    </row>
    <row r="415" spans="1:15" s="128" customFormat="1" ht="12.75">
      <c r="A415" s="224"/>
      <c r="B415" s="227" t="s">
        <v>178</v>
      </c>
      <c r="C415" s="228" t="s">
        <v>45</v>
      </c>
      <c r="D415" s="229">
        <f>30.5+29.86+1.08*5+2.16</f>
        <v>67.92</v>
      </c>
      <c r="E415" s="249"/>
      <c r="F415" s="250"/>
      <c r="G415" s="1145"/>
      <c r="H415" s="1161"/>
      <c r="I415" s="126"/>
      <c r="J415" s="127"/>
      <c r="K415" s="1161"/>
      <c r="L415" s="127"/>
      <c r="M415" s="1161"/>
      <c r="N415" s="1043"/>
      <c r="O415" s="1043"/>
    </row>
    <row r="416" spans="1:15" s="128" customFormat="1" ht="12.75">
      <c r="A416" s="224"/>
      <c r="B416" s="230" t="s">
        <v>53</v>
      </c>
      <c r="C416" s="6" t="s">
        <v>45</v>
      </c>
      <c r="D416" s="96">
        <f>SUM(D413:D415)</f>
        <v>217.51</v>
      </c>
      <c r="E416" s="69"/>
      <c r="F416" s="1040">
        <f>E416*D416</f>
        <v>0</v>
      </c>
      <c r="G416" s="1145">
        <v>25</v>
      </c>
      <c r="H416" s="1161"/>
      <c r="I416" s="126"/>
      <c r="J416" s="127"/>
      <c r="K416" s="1161"/>
      <c r="L416" s="127"/>
      <c r="M416" s="1161"/>
      <c r="N416" s="1043">
        <f>E416*1.2</f>
        <v>0</v>
      </c>
      <c r="O416" s="1043">
        <f>N416*D416</f>
        <v>0</v>
      </c>
    </row>
    <row r="417" spans="1:15" s="128" customFormat="1" ht="127.5">
      <c r="A417" s="231">
        <v>15.08</v>
      </c>
      <c r="B417" s="216" t="s">
        <v>254</v>
      </c>
      <c r="C417" s="6" t="s">
        <v>45</v>
      </c>
      <c r="D417" s="96">
        <f>0.82*13</f>
        <v>10.66</v>
      </c>
      <c r="E417" s="69"/>
      <c r="F417" s="1040">
        <f>E417*D417</f>
        <v>0</v>
      </c>
      <c r="G417" s="1145">
        <v>6</v>
      </c>
      <c r="H417" s="1161"/>
      <c r="I417" s="126"/>
      <c r="J417" s="127"/>
      <c r="K417" s="1161"/>
      <c r="L417" s="127"/>
      <c r="M417" s="1161"/>
      <c r="N417" s="1043">
        <f>E417*1.2</f>
        <v>0</v>
      </c>
      <c r="O417" s="1043">
        <f>N417*D417</f>
        <v>0</v>
      </c>
    </row>
    <row r="418" spans="1:15" s="128" customFormat="1" ht="102">
      <c r="A418" s="231">
        <v>15.09</v>
      </c>
      <c r="B418" s="216" t="s">
        <v>182</v>
      </c>
      <c r="C418" s="6" t="s">
        <v>47</v>
      </c>
      <c r="D418" s="96">
        <v>1</v>
      </c>
      <c r="E418" s="69"/>
      <c r="F418" s="1040">
        <f>E418*D418</f>
        <v>0</v>
      </c>
      <c r="G418" s="1145">
        <v>60</v>
      </c>
      <c r="H418" s="1161"/>
      <c r="I418" s="126"/>
      <c r="J418" s="127"/>
      <c r="K418" s="1161"/>
      <c r="L418" s="127"/>
      <c r="M418" s="1161"/>
      <c r="N418" s="1043">
        <f>E418*1.2</f>
        <v>0</v>
      </c>
      <c r="O418" s="1043">
        <f>N418*D418</f>
        <v>0</v>
      </c>
    </row>
    <row r="419" spans="1:15" s="128" customFormat="1" ht="114.75">
      <c r="A419" s="231">
        <v>15.09</v>
      </c>
      <c r="B419" s="216" t="s">
        <v>140</v>
      </c>
      <c r="C419" s="141"/>
      <c r="D419" s="141"/>
      <c r="E419" s="142"/>
      <c r="H419" s="1161"/>
      <c r="I419" s="126"/>
      <c r="J419" s="127"/>
      <c r="K419" s="1161"/>
      <c r="L419" s="127"/>
      <c r="M419" s="1161"/>
      <c r="N419" s="1043"/>
      <c r="O419" s="1043"/>
    </row>
    <row r="420" spans="1:15" s="128" customFormat="1" ht="12.75">
      <c r="A420" s="251"/>
      <c r="B420" s="252" t="s">
        <v>183</v>
      </c>
      <c r="C420" s="6" t="s">
        <v>47</v>
      </c>
      <c r="D420" s="96">
        <v>3</v>
      </c>
      <c r="E420" s="69"/>
      <c r="F420" s="1040">
        <f>E420*D420</f>
        <v>0</v>
      </c>
      <c r="G420" s="1145">
        <v>100</v>
      </c>
      <c r="H420" s="1161"/>
      <c r="I420" s="126"/>
      <c r="J420" s="127"/>
      <c r="K420" s="1161"/>
      <c r="L420" s="127"/>
      <c r="M420" s="1161"/>
      <c r="N420" s="1043">
        <f>E420*1.2</f>
        <v>0</v>
      </c>
      <c r="O420" s="1043">
        <f>N420*D420</f>
        <v>0</v>
      </c>
    </row>
    <row r="421" spans="1:15" s="128" customFormat="1" ht="102">
      <c r="A421" s="102">
        <v>15.1</v>
      </c>
      <c r="B421" s="216" t="s">
        <v>141</v>
      </c>
      <c r="C421" s="6" t="s">
        <v>47</v>
      </c>
      <c r="D421" s="96"/>
      <c r="E421" s="142"/>
      <c r="H421" s="1161"/>
      <c r="I421" s="126"/>
      <c r="J421" s="127"/>
      <c r="K421" s="1161"/>
      <c r="L421" s="127"/>
      <c r="M421" s="1161"/>
      <c r="N421" s="1043"/>
      <c r="O421" s="1043"/>
    </row>
    <row r="422" spans="1:15" s="128" customFormat="1" ht="12.75">
      <c r="A422" s="224"/>
      <c r="B422" s="253" t="s">
        <v>67</v>
      </c>
      <c r="C422" s="6" t="s">
        <v>142</v>
      </c>
      <c r="D422" s="116">
        <v>8</v>
      </c>
      <c r="E422" s="69"/>
      <c r="F422" s="1144"/>
      <c r="G422" s="1145"/>
      <c r="H422" s="1161"/>
      <c r="I422" s="126"/>
      <c r="J422" s="127"/>
      <c r="K422" s="1161"/>
      <c r="L422" s="127"/>
      <c r="M422" s="1161"/>
      <c r="N422" s="1043"/>
      <c r="O422" s="1043"/>
    </row>
    <row r="423" spans="1:15" s="128" customFormat="1" ht="12.75">
      <c r="A423" s="224"/>
      <c r="B423" s="253" t="s">
        <v>177</v>
      </c>
      <c r="C423" s="6" t="s">
        <v>142</v>
      </c>
      <c r="D423" s="116">
        <v>14</v>
      </c>
      <c r="E423" s="69"/>
      <c r="F423" s="1144"/>
      <c r="G423" s="1145"/>
      <c r="H423" s="1161"/>
      <c r="I423" s="126"/>
      <c r="J423" s="127"/>
      <c r="K423" s="1161"/>
      <c r="L423" s="127"/>
      <c r="M423" s="1161"/>
      <c r="N423" s="1043"/>
      <c r="O423" s="1043"/>
    </row>
    <row r="424" spans="1:15" s="128" customFormat="1" ht="12.75">
      <c r="A424" s="224"/>
      <c r="B424" s="253" t="s">
        <v>178</v>
      </c>
      <c r="C424" s="6" t="s">
        <v>142</v>
      </c>
      <c r="D424" s="116">
        <v>14</v>
      </c>
      <c r="E424" s="69"/>
      <c r="F424" s="1144"/>
      <c r="G424" s="1145"/>
      <c r="H424" s="1161"/>
      <c r="I424" s="126"/>
      <c r="J424" s="127"/>
      <c r="K424" s="1161"/>
      <c r="L424" s="127"/>
      <c r="M424" s="1161"/>
      <c r="N424" s="1043"/>
      <c r="O424" s="1043"/>
    </row>
    <row r="425" spans="1:15" s="128" customFormat="1" ht="12.75">
      <c r="A425" s="224"/>
      <c r="B425" s="253" t="s">
        <v>53</v>
      </c>
      <c r="C425" s="92" t="s">
        <v>142</v>
      </c>
      <c r="D425" s="116">
        <f>D422+D423+D424</f>
        <v>36</v>
      </c>
      <c r="E425" s="69"/>
      <c r="F425" s="1040">
        <f>E425*D425</f>
        <v>0</v>
      </c>
      <c r="G425" s="1145">
        <v>25</v>
      </c>
      <c r="H425" s="1161"/>
      <c r="I425" s="126"/>
      <c r="J425" s="127"/>
      <c r="K425" s="1161"/>
      <c r="L425" s="127"/>
      <c r="M425" s="1161"/>
      <c r="N425" s="1043">
        <f>E425*1.2</f>
        <v>0</v>
      </c>
      <c r="O425" s="1043">
        <f>N425*D425</f>
        <v>0</v>
      </c>
    </row>
    <row r="426" spans="1:15" ht="15.75">
      <c r="A426" s="610">
        <v>15</v>
      </c>
      <c r="B426" s="666" t="s">
        <v>33</v>
      </c>
      <c r="C426" s="18"/>
      <c r="D426" s="667"/>
      <c r="E426" s="612" t="s">
        <v>151</v>
      </c>
      <c r="F426" s="1140">
        <f>SUM(F382:F425)</f>
        <v>0</v>
      </c>
      <c r="G426" s="1145"/>
      <c r="H426" s="1128"/>
      <c r="I426" s="1042"/>
      <c r="J426" s="1042"/>
      <c r="K426" s="1042"/>
      <c r="L426" s="1042"/>
      <c r="M426" s="1042"/>
      <c r="N426" s="1122"/>
      <c r="O426" s="1135">
        <f>SUM(O382:O425)</f>
        <v>0</v>
      </c>
    </row>
    <row r="427" spans="1:15" s="128" customFormat="1" ht="12.75">
      <c r="A427" s="251"/>
      <c r="B427" s="252"/>
      <c r="C427" s="115"/>
      <c r="D427" s="116"/>
      <c r="E427" s="69"/>
      <c r="F427" s="1144"/>
      <c r="G427" s="1145"/>
      <c r="H427" s="1161"/>
      <c r="I427" s="126"/>
      <c r="J427" s="127"/>
      <c r="K427" s="1161"/>
      <c r="L427" s="127"/>
      <c r="M427" s="1161"/>
      <c r="N427" s="598"/>
      <c r="O427" s="598"/>
    </row>
    <row r="428" spans="1:15" s="146" customFormat="1" ht="15.75">
      <c r="A428" s="621">
        <v>16</v>
      </c>
      <c r="B428" s="675" t="s">
        <v>34</v>
      </c>
      <c r="C428" s="677"/>
      <c r="D428" s="650"/>
      <c r="E428" s="612"/>
      <c r="F428" s="1140"/>
      <c r="G428" s="1165"/>
      <c r="H428" s="1166"/>
      <c r="I428" s="1166"/>
      <c r="J428" s="1125"/>
      <c r="K428" s="1125"/>
      <c r="L428" s="1125"/>
      <c r="M428" s="1125"/>
      <c r="N428" s="1122"/>
      <c r="O428" s="1122"/>
    </row>
    <row r="429" spans="1:15" ht="25.5">
      <c r="A429" s="630" t="s">
        <v>38</v>
      </c>
      <c r="B429" s="629" t="s">
        <v>39</v>
      </c>
      <c r="C429" s="628" t="s">
        <v>40</v>
      </c>
      <c r="D429" s="628" t="s">
        <v>41</v>
      </c>
      <c r="E429" s="599" t="s">
        <v>1261</v>
      </c>
      <c r="F429" s="599" t="s">
        <v>1262</v>
      </c>
      <c r="G429" s="1123"/>
      <c r="H429" s="1124"/>
      <c r="I429" s="1124"/>
      <c r="J429" s="1125"/>
      <c r="K429" s="1125"/>
      <c r="L429" s="1124"/>
      <c r="M429" s="1125"/>
      <c r="N429" s="969" t="s">
        <v>1264</v>
      </c>
      <c r="O429" s="969" t="s">
        <v>1263</v>
      </c>
    </row>
    <row r="430" spans="1:15" s="156" customFormat="1" ht="217.5">
      <c r="A430" s="282">
        <v>16.01</v>
      </c>
      <c r="B430" s="152" t="s">
        <v>265</v>
      </c>
      <c r="C430" s="153"/>
      <c r="D430" s="154"/>
      <c r="E430" s="155"/>
      <c r="F430" s="1167"/>
      <c r="G430" s="1147"/>
      <c r="H430" s="1168"/>
      <c r="I430" s="1168"/>
      <c r="J430" s="1169"/>
      <c r="K430" s="1169"/>
      <c r="L430" s="1169"/>
      <c r="M430" s="1169"/>
      <c r="N430" s="1170"/>
      <c r="O430" s="1170"/>
    </row>
    <row r="431" spans="1:15" s="156" customFormat="1" ht="255.75">
      <c r="A431" s="151"/>
      <c r="B431" s="157" t="s">
        <v>266</v>
      </c>
      <c r="C431" s="153"/>
      <c r="D431" s="154"/>
      <c r="E431" s="155"/>
      <c r="F431" s="1167"/>
      <c r="G431" s="1147"/>
      <c r="H431" s="1168"/>
      <c r="I431" s="1168"/>
      <c r="J431" s="1169"/>
      <c r="K431" s="1169"/>
      <c r="L431" s="1169"/>
      <c r="M431" s="1169"/>
      <c r="N431" s="1170"/>
      <c r="O431" s="1170"/>
    </row>
    <row r="432" spans="1:15" s="156" customFormat="1" ht="39">
      <c r="A432" s="151"/>
      <c r="B432" s="263" t="s">
        <v>267</v>
      </c>
      <c r="C432" s="260"/>
      <c r="D432" s="261"/>
      <c r="E432" s="262"/>
      <c r="F432" s="1171"/>
      <c r="G432" s="1147"/>
      <c r="H432" s="1168"/>
      <c r="I432" s="1168"/>
      <c r="J432" s="1169"/>
      <c r="K432" s="1169"/>
      <c r="L432" s="1169"/>
      <c r="M432" s="1169"/>
      <c r="N432" s="1170"/>
      <c r="O432" s="1170"/>
    </row>
    <row r="433" spans="1:15" s="150" customFormat="1" ht="15.75">
      <c r="A433" s="148"/>
      <c r="B433" s="263" t="s">
        <v>268</v>
      </c>
      <c r="C433" s="74" t="s">
        <v>45</v>
      </c>
      <c r="D433" s="104">
        <f>(51.56-3*3.24)+(36.1-3*2.52)+(57.76-3*3.24)+(48.1-6*2.52)+2*(44.81-3*3.6)+(30.45-2.49-4.03-3.88)+(34.6-3*2.24)+4.4+(146-6*2.52-9*0.36)+(36.67-3*3.24)+(113.51-6*3.6-3*2.52)+(50.95-6*2.52)-75.54</f>
        <v>470.97999999999996</v>
      </c>
      <c r="E433" s="182"/>
      <c r="F433" s="1151">
        <f>D433*E433</f>
        <v>0</v>
      </c>
      <c r="G433" s="1172">
        <v>16.5</v>
      </c>
      <c r="H433" s="1173"/>
      <c r="I433" s="1173"/>
      <c r="J433" s="1154"/>
      <c r="K433" s="1154"/>
      <c r="L433" s="1154"/>
      <c r="M433" s="1154"/>
      <c r="N433" s="1174">
        <f>E433*1.2</f>
        <v>0</v>
      </c>
      <c r="O433" s="1174">
        <f>N433*D433</f>
        <v>0</v>
      </c>
    </row>
    <row r="434" spans="1:15" s="150" customFormat="1" ht="15.75">
      <c r="A434" s="148"/>
      <c r="B434" s="263" t="s">
        <v>269</v>
      </c>
      <c r="C434" s="74" t="s">
        <v>45</v>
      </c>
      <c r="D434" s="104">
        <f>19*0.4*3.5+19*0.4*3.22*2</f>
        <v>75.54400000000001</v>
      </c>
      <c r="E434" s="182"/>
      <c r="F434" s="1151">
        <f>D434*E434</f>
        <v>0</v>
      </c>
      <c r="G434" s="1172">
        <v>5.5</v>
      </c>
      <c r="H434" s="1173"/>
      <c r="I434" s="1173"/>
      <c r="J434" s="1154"/>
      <c r="K434" s="1154"/>
      <c r="L434" s="1154"/>
      <c r="M434" s="1154"/>
      <c r="N434" s="1174">
        <f>E434*1.2</f>
        <v>0</v>
      </c>
      <c r="O434" s="1174">
        <f>N434*D434</f>
        <v>0</v>
      </c>
    </row>
    <row r="435" spans="1:15" s="146" customFormat="1" ht="216.75">
      <c r="A435" s="254">
        <v>16.02</v>
      </c>
      <c r="B435" s="255" t="s">
        <v>256</v>
      </c>
      <c r="C435" s="74"/>
      <c r="D435" s="256"/>
      <c r="E435" s="182"/>
      <c r="F435" s="1151"/>
      <c r="G435" s="1165"/>
      <c r="H435" s="1125"/>
      <c r="I435" s="1125"/>
      <c r="J435" s="1125"/>
      <c r="K435" s="1125"/>
      <c r="L435" s="1125"/>
      <c r="M435" s="1125"/>
      <c r="N435" s="1170"/>
      <c r="O435" s="1170"/>
    </row>
    <row r="436" spans="1:15" s="146" customFormat="1" ht="12.75">
      <c r="A436" s="102"/>
      <c r="B436" s="257" t="s">
        <v>257</v>
      </c>
      <c r="C436" s="74" t="s">
        <v>45</v>
      </c>
      <c r="D436" s="256">
        <f>51+56.5+47+27+144+36+50-6*0.24</f>
        <v>410.06</v>
      </c>
      <c r="E436" s="182"/>
      <c r="F436" s="1151"/>
      <c r="G436" s="1175"/>
      <c r="H436" s="1125"/>
      <c r="I436" s="1125"/>
      <c r="J436" s="1125"/>
      <c r="K436" s="1125"/>
      <c r="L436" s="1125"/>
      <c r="M436" s="1125"/>
      <c r="N436" s="1170"/>
      <c r="O436" s="1170"/>
    </row>
    <row r="437" spans="1:15" s="146" customFormat="1" ht="12.75">
      <c r="A437" s="258"/>
      <c r="B437" s="257" t="s">
        <v>255</v>
      </c>
      <c r="C437" s="74" t="s">
        <v>45</v>
      </c>
      <c r="D437" s="118">
        <f>1.2*(18.74*2+14.6*2)</f>
        <v>80.01599999999999</v>
      </c>
      <c r="E437" s="182"/>
      <c r="F437" s="1176"/>
      <c r="G437" s="1175"/>
      <c r="H437" s="1125"/>
      <c r="I437" s="1125"/>
      <c r="J437" s="1125"/>
      <c r="K437" s="1125"/>
      <c r="L437" s="1125"/>
      <c r="M437" s="1125"/>
      <c r="N437" s="1170"/>
      <c r="O437" s="1170"/>
    </row>
    <row r="438" spans="1:15" s="146" customFormat="1" ht="12.75">
      <c r="A438" s="258"/>
      <c r="B438" s="259" t="s">
        <v>53</v>
      </c>
      <c r="C438" s="74" t="s">
        <v>45</v>
      </c>
      <c r="D438" s="256">
        <f>SUM(D436:D437)</f>
        <v>490.076</v>
      </c>
      <c r="E438" s="182"/>
      <c r="F438" s="1151">
        <f>E438*D438</f>
        <v>0</v>
      </c>
      <c r="G438" s="1165">
        <v>5</v>
      </c>
      <c r="H438" s="1125"/>
      <c r="I438" s="1125"/>
      <c r="J438" s="1125"/>
      <c r="K438" s="1125"/>
      <c r="L438" s="1125"/>
      <c r="M438" s="1125"/>
      <c r="N438" s="1174">
        <f>E438*1.2</f>
        <v>0</v>
      </c>
      <c r="O438" s="1174">
        <f>N438*D438</f>
        <v>0</v>
      </c>
    </row>
    <row r="439" spans="1:15" s="146" customFormat="1" ht="15.75">
      <c r="A439" s="621">
        <v>16</v>
      </c>
      <c r="B439" s="675" t="s">
        <v>34</v>
      </c>
      <c r="C439" s="677"/>
      <c r="D439" s="650"/>
      <c r="E439" s="612" t="s">
        <v>240</v>
      </c>
      <c r="F439" s="1140">
        <f>SUM(F430:F438)</f>
        <v>0</v>
      </c>
      <c r="G439" s="1149"/>
      <c r="H439" s="1156"/>
      <c r="I439" s="1156"/>
      <c r="J439" s="1121"/>
      <c r="K439" s="1121"/>
      <c r="L439" s="1121"/>
      <c r="M439" s="1121"/>
      <c r="N439" s="1122"/>
      <c r="O439" s="1135">
        <f>SUM(O430:O438)</f>
        <v>0</v>
      </c>
    </row>
    <row r="440" spans="1:15" ht="12.75">
      <c r="A440" s="113"/>
      <c r="B440" s="117"/>
      <c r="C440" s="115"/>
      <c r="D440" s="118"/>
      <c r="E440" s="211"/>
      <c r="F440" s="1144"/>
      <c r="G440" s="1177"/>
      <c r="H440" s="1042"/>
      <c r="I440" s="1042"/>
      <c r="J440" s="1042"/>
      <c r="K440" s="1042"/>
      <c r="L440" s="1042"/>
      <c r="M440" s="1042"/>
      <c r="N440" s="1043"/>
      <c r="O440" s="1043"/>
    </row>
    <row r="441" spans="1:15" ht="12.75">
      <c r="A441" s="113"/>
      <c r="B441" s="117"/>
      <c r="C441" s="115"/>
      <c r="D441" s="118"/>
      <c r="E441" s="211"/>
      <c r="F441" s="1144"/>
      <c r="G441" s="1177"/>
      <c r="H441" s="1042"/>
      <c r="I441" s="1042"/>
      <c r="J441" s="1042"/>
      <c r="K441" s="1042"/>
      <c r="L441" s="1042"/>
      <c r="M441" s="1042"/>
      <c r="N441" s="1043"/>
      <c r="O441" s="1043"/>
    </row>
    <row r="442" spans="1:15" ht="15.75">
      <c r="A442" s="621">
        <v>17</v>
      </c>
      <c r="B442" s="678" t="s">
        <v>144</v>
      </c>
      <c r="C442" s="677"/>
      <c r="D442" s="650"/>
      <c r="E442" s="625"/>
      <c r="F442" s="1118"/>
      <c r="G442" s="1178"/>
      <c r="H442" s="1121"/>
      <c r="I442" s="1121"/>
      <c r="J442" s="1121"/>
      <c r="K442" s="1121"/>
      <c r="L442" s="1121"/>
      <c r="M442" s="1121"/>
      <c r="N442" s="1122"/>
      <c r="O442" s="1122"/>
    </row>
    <row r="443" spans="1:15" ht="25.5">
      <c r="A443" s="630" t="s">
        <v>38</v>
      </c>
      <c r="B443" s="629" t="s">
        <v>39</v>
      </c>
      <c r="C443" s="628" t="s">
        <v>40</v>
      </c>
      <c r="D443" s="628" t="s">
        <v>41</v>
      </c>
      <c r="E443" s="599" t="s">
        <v>1261</v>
      </c>
      <c r="F443" s="599" t="s">
        <v>1262</v>
      </c>
      <c r="G443" s="1177"/>
      <c r="H443" s="1042"/>
      <c r="I443" s="1042"/>
      <c r="J443" s="1042"/>
      <c r="K443" s="1042"/>
      <c r="L443" s="1042"/>
      <c r="M443" s="1042"/>
      <c r="N443" s="969" t="s">
        <v>1264</v>
      </c>
      <c r="O443" s="969" t="s">
        <v>1263</v>
      </c>
    </row>
    <row r="444" spans="1:15" ht="143.25" customHeight="1">
      <c r="A444" s="94"/>
      <c r="B444" s="1213" t="s">
        <v>145</v>
      </c>
      <c r="C444" s="1213"/>
      <c r="D444" s="1213"/>
      <c r="E444" s="1213"/>
      <c r="F444" s="1139"/>
      <c r="G444" s="1177"/>
      <c r="H444" s="1042"/>
      <c r="I444" s="1042"/>
      <c r="J444" s="1042"/>
      <c r="K444" s="1042"/>
      <c r="L444" s="1042"/>
      <c r="M444" s="1042"/>
      <c r="N444" s="1043"/>
      <c r="O444" s="1043"/>
    </row>
    <row r="445" spans="1:15" ht="153">
      <c r="A445" s="8">
        <v>17.01</v>
      </c>
      <c r="B445" s="216" t="s">
        <v>146</v>
      </c>
      <c r="C445" s="6"/>
      <c r="D445" s="125"/>
      <c r="E445" s="38"/>
      <c r="F445" s="1042"/>
      <c r="G445" s="1042"/>
      <c r="H445" s="1042"/>
      <c r="I445" s="1042"/>
      <c r="J445" s="1042"/>
      <c r="K445" s="1042"/>
      <c r="L445" s="1042"/>
      <c r="M445" s="1042"/>
      <c r="N445" s="1043"/>
      <c r="O445" s="1043"/>
    </row>
    <row r="446" spans="1:15" ht="12.75">
      <c r="A446" s="8"/>
      <c r="B446" s="216" t="s">
        <v>67</v>
      </c>
      <c r="C446" s="6"/>
      <c r="D446" s="96">
        <f>87.02+20.93+20.6+59.19+47.64+18.09+10.82+15.88+29.18+74.63</f>
        <v>383.98</v>
      </c>
      <c r="E446" s="69"/>
      <c r="F446" s="1040"/>
      <c r="G446" s="1177"/>
      <c r="H446" s="1042"/>
      <c r="I446" s="1042"/>
      <c r="J446" s="1042"/>
      <c r="K446" s="1042"/>
      <c r="L446" s="1042"/>
      <c r="M446" s="1042"/>
      <c r="N446" s="1043"/>
      <c r="O446" s="1043"/>
    </row>
    <row r="447" spans="1:15" ht="12.75">
      <c r="A447" s="8"/>
      <c r="B447" s="216" t="s">
        <v>177</v>
      </c>
      <c r="C447" s="6" t="s">
        <v>45</v>
      </c>
      <c r="D447" s="96">
        <f>24.48+8.36+24.48+39.4+43.81+23.17+23.08+24+32.65+6.67</f>
        <v>250.09999999999997</v>
      </c>
      <c r="E447" s="69"/>
      <c r="F447" s="1040"/>
      <c r="G447" s="1177"/>
      <c r="H447" s="1042"/>
      <c r="I447" s="1042"/>
      <c r="J447" s="1042"/>
      <c r="K447" s="1042"/>
      <c r="L447" s="1042"/>
      <c r="M447" s="1042"/>
      <c r="N447" s="1043"/>
      <c r="O447" s="1043"/>
    </row>
    <row r="448" spans="1:15" ht="12.75">
      <c r="A448" s="8"/>
      <c r="B448" s="216" t="s">
        <v>178</v>
      </c>
      <c r="C448" s="6" t="s">
        <v>45</v>
      </c>
      <c r="D448" s="96">
        <f>33.16+24.48+39.4+43.81+20.74+9.32+9.28+32.84+7.36</f>
        <v>220.39000000000001</v>
      </c>
      <c r="E448" s="69"/>
      <c r="F448" s="1040"/>
      <c r="G448" s="1177"/>
      <c r="H448" s="1042"/>
      <c r="I448" s="1042"/>
      <c r="J448" s="1042"/>
      <c r="K448" s="1042"/>
      <c r="L448" s="1042"/>
      <c r="M448" s="1042"/>
      <c r="N448" s="1043"/>
      <c r="O448" s="1043"/>
    </row>
    <row r="449" spans="1:15" ht="12.75">
      <c r="A449" s="8"/>
      <c r="B449" s="216" t="s">
        <v>94</v>
      </c>
      <c r="C449" s="6" t="s">
        <v>45</v>
      </c>
      <c r="D449" s="38">
        <f>55.18*0.95+3*2.44*2+1*2.44*4+8.7*4</f>
        <v>111.62100000000001</v>
      </c>
      <c r="E449" s="69"/>
      <c r="F449" s="1040"/>
      <c r="G449" s="1177"/>
      <c r="H449" s="1042"/>
      <c r="I449" s="1042"/>
      <c r="J449" s="1042"/>
      <c r="K449" s="1042"/>
      <c r="L449" s="1042"/>
      <c r="M449" s="1042"/>
      <c r="N449" s="1043"/>
      <c r="O449" s="1043"/>
    </row>
    <row r="450" spans="1:15" ht="12.75">
      <c r="A450" s="8"/>
      <c r="B450" s="216" t="s">
        <v>232</v>
      </c>
      <c r="C450" s="6" t="s">
        <v>45</v>
      </c>
      <c r="D450" s="125">
        <f>3.7+5.48+10.25</f>
        <v>19.43</v>
      </c>
      <c r="E450" s="69"/>
      <c r="F450" s="1040"/>
      <c r="G450" s="1177"/>
      <c r="H450" s="1042"/>
      <c r="I450" s="1042"/>
      <c r="J450" s="1042"/>
      <c r="K450" s="1042"/>
      <c r="L450" s="1042"/>
      <c r="M450" s="1042"/>
      <c r="N450" s="1043"/>
      <c r="O450" s="1043"/>
    </row>
    <row r="451" spans="1:15" ht="12.75">
      <c r="A451" s="8"/>
      <c r="B451" s="216" t="s">
        <v>147</v>
      </c>
      <c r="C451" s="6" t="s">
        <v>45</v>
      </c>
      <c r="D451" s="96">
        <f>13.3*1.2*3+(4.2*2+6.657/0.920504853)*1.2*2+17.4*1.2</f>
        <v>106.2765624862599</v>
      </c>
      <c r="E451" s="69"/>
      <c r="F451" s="1040"/>
      <c r="G451" s="1177"/>
      <c r="H451" s="1042"/>
      <c r="I451" s="1042"/>
      <c r="J451" s="1042"/>
      <c r="K451" s="1042"/>
      <c r="L451" s="1042"/>
      <c r="M451" s="1042"/>
      <c r="N451" s="1043"/>
      <c r="O451" s="1043"/>
    </row>
    <row r="452" spans="1:15" ht="12.75">
      <c r="A452" s="8"/>
      <c r="B452" s="264" t="s">
        <v>53</v>
      </c>
      <c r="C452" s="6" t="s">
        <v>45</v>
      </c>
      <c r="D452" s="96">
        <f>SUM(D446:D451)</f>
        <v>1091.7975624862597</v>
      </c>
      <c r="E452" s="69"/>
      <c r="F452" s="1040">
        <f>E452*D452</f>
        <v>0</v>
      </c>
      <c r="G452" s="1177">
        <v>2.25</v>
      </c>
      <c r="H452" s="1042"/>
      <c r="I452" s="1042"/>
      <c r="J452" s="1042"/>
      <c r="K452" s="1042"/>
      <c r="L452" s="1042"/>
      <c r="M452" s="1042"/>
      <c r="N452" s="1043">
        <f>E452*1.2</f>
        <v>0</v>
      </c>
      <c r="O452" s="1043">
        <f>N452*D452</f>
        <v>0</v>
      </c>
    </row>
    <row r="453" spans="1:15" ht="153">
      <c r="A453" s="8">
        <v>17.02</v>
      </c>
      <c r="B453" s="216" t="s">
        <v>148</v>
      </c>
      <c r="C453" s="6"/>
      <c r="D453" s="96"/>
      <c r="E453" s="69"/>
      <c r="F453" s="1040"/>
      <c r="G453" s="1177"/>
      <c r="H453" s="1042"/>
      <c r="I453" s="1042"/>
      <c r="J453" s="1042"/>
      <c r="K453" s="1042"/>
      <c r="L453" s="1042"/>
      <c r="M453" s="1042"/>
      <c r="N453" s="1043"/>
      <c r="O453" s="1043"/>
    </row>
    <row r="454" spans="1:15" ht="12.75">
      <c r="A454" s="8"/>
      <c r="B454" s="216" t="s">
        <v>67</v>
      </c>
      <c r="C454" s="6" t="s">
        <v>45</v>
      </c>
      <c r="D454" s="96">
        <f>7.71+20.69+4.3+7.19+6.2+36</f>
        <v>82.09</v>
      </c>
      <c r="E454" s="69"/>
      <c r="F454" s="1040"/>
      <c r="G454" s="1177"/>
      <c r="H454" s="1042"/>
      <c r="I454" s="1042"/>
      <c r="J454" s="1042"/>
      <c r="K454" s="1042"/>
      <c r="L454" s="1042"/>
      <c r="M454" s="1042"/>
      <c r="N454" s="1043"/>
      <c r="O454" s="1043"/>
    </row>
    <row r="455" spans="1:15" ht="12.75">
      <c r="A455" s="8"/>
      <c r="B455" s="216" t="s">
        <v>177</v>
      </c>
      <c r="C455" s="6" t="s">
        <v>45</v>
      </c>
      <c r="D455" s="96">
        <f>15+15.24+14.75+20.69+15.14+14.7</f>
        <v>95.52000000000001</v>
      </c>
      <c r="E455" s="69"/>
      <c r="F455" s="1040"/>
      <c r="G455" s="1177"/>
      <c r="H455" s="1042"/>
      <c r="I455" s="1042"/>
      <c r="J455" s="1042"/>
      <c r="K455" s="1042"/>
      <c r="L455" s="1042"/>
      <c r="M455" s="1042"/>
      <c r="N455" s="1043"/>
      <c r="O455" s="1043"/>
    </row>
    <row r="456" spans="1:15" ht="12.75">
      <c r="A456" s="8"/>
      <c r="B456" s="216" t="s">
        <v>178</v>
      </c>
      <c r="C456" s="6" t="s">
        <v>45</v>
      </c>
      <c r="D456" s="96">
        <f>15+20.69+16.41+13.97+11.25+3.39+3.4+5.58</f>
        <v>89.69</v>
      </c>
      <c r="E456" s="69"/>
      <c r="F456" s="1040"/>
      <c r="G456" s="1177"/>
      <c r="H456" s="1042"/>
      <c r="I456" s="1042"/>
      <c r="J456" s="1042"/>
      <c r="K456" s="1042"/>
      <c r="L456" s="1042"/>
      <c r="M456" s="1042"/>
      <c r="N456" s="1043"/>
      <c r="O456" s="1043"/>
    </row>
    <row r="457" spans="1:15" ht="12.75">
      <c r="A457" s="8"/>
      <c r="B457" s="264" t="s">
        <v>53</v>
      </c>
      <c r="C457" s="6" t="s">
        <v>45</v>
      </c>
      <c r="D457" s="96">
        <f>SUM(D454:D456)</f>
        <v>267.3</v>
      </c>
      <c r="E457" s="69"/>
      <c r="F457" s="1040">
        <f>E457*D457</f>
        <v>0</v>
      </c>
      <c r="G457" s="1177">
        <v>2.25</v>
      </c>
      <c r="H457" s="1042"/>
      <c r="I457" s="1042"/>
      <c r="J457" s="1042"/>
      <c r="K457" s="1042"/>
      <c r="L457" s="1042"/>
      <c r="M457" s="1042"/>
      <c r="N457" s="1043">
        <f>E457*1.2</f>
        <v>0</v>
      </c>
      <c r="O457" s="1043">
        <f>N457*D457</f>
        <v>0</v>
      </c>
    </row>
    <row r="458" spans="1:15" ht="165.75">
      <c r="A458" s="8">
        <v>17.03</v>
      </c>
      <c r="B458" s="216" t="s">
        <v>229</v>
      </c>
      <c r="C458" s="6"/>
      <c r="D458" s="96"/>
      <c r="E458" s="69"/>
      <c r="F458" s="1040"/>
      <c r="G458" s="1177"/>
      <c r="H458" s="1042"/>
      <c r="I458" s="1042"/>
      <c r="J458" s="1042"/>
      <c r="K458" s="1042"/>
      <c r="L458" s="1042"/>
      <c r="M458" s="1042"/>
      <c r="N458" s="1043"/>
      <c r="O458" s="1043"/>
    </row>
    <row r="459" spans="1:15" ht="12.75">
      <c r="A459" s="8"/>
      <c r="B459" s="264" t="s">
        <v>53</v>
      </c>
      <c r="C459" s="6" t="s">
        <v>45</v>
      </c>
      <c r="D459" s="96">
        <f>(3.51+3.66)*1.4+4.5+3.49*1.5*2+3.68*1.5*2+4.5*2</f>
        <v>45.048</v>
      </c>
      <c r="E459" s="69"/>
      <c r="F459" s="1040">
        <f>E459*D459</f>
        <v>0</v>
      </c>
      <c r="G459" s="1177">
        <v>2.25</v>
      </c>
      <c r="H459" s="1042"/>
      <c r="I459" s="1042"/>
      <c r="J459" s="1042"/>
      <c r="K459" s="1042"/>
      <c r="L459" s="1042"/>
      <c r="M459" s="1042"/>
      <c r="N459" s="1043">
        <f>E459*1.2</f>
        <v>0</v>
      </c>
      <c r="O459" s="1043">
        <f>N459*D459</f>
        <v>0</v>
      </c>
    </row>
    <row r="460" spans="1:15" ht="153">
      <c r="A460" s="8">
        <v>17.04</v>
      </c>
      <c r="B460" s="216" t="s">
        <v>149</v>
      </c>
      <c r="C460" s="6" t="s">
        <v>45</v>
      </c>
      <c r="D460" s="265"/>
      <c r="E460" s="89"/>
      <c r="F460" s="1179"/>
      <c r="G460" s="1042"/>
      <c r="H460" s="1042"/>
      <c r="I460" s="1042"/>
      <c r="J460" s="1042"/>
      <c r="K460" s="1042"/>
      <c r="L460" s="1042"/>
      <c r="M460" s="1042"/>
      <c r="N460" s="1043"/>
      <c r="O460" s="1043"/>
    </row>
    <row r="461" spans="1:15" ht="12.75">
      <c r="A461" s="8"/>
      <c r="B461" s="216" t="s">
        <v>67</v>
      </c>
      <c r="C461" s="6" t="s">
        <v>45</v>
      </c>
      <c r="D461" s="96">
        <f>21.95+17.59+11.89+22.27+7.03+19.52</f>
        <v>100.25</v>
      </c>
      <c r="E461" s="69"/>
      <c r="F461" s="1040"/>
      <c r="G461" s="1177"/>
      <c r="H461" s="1042"/>
      <c r="I461" s="1042"/>
      <c r="J461" s="1042"/>
      <c r="K461" s="1042"/>
      <c r="L461" s="1042"/>
      <c r="M461" s="1042"/>
      <c r="N461" s="1043"/>
      <c r="O461" s="1043"/>
    </row>
    <row r="462" spans="1:15" ht="12.75">
      <c r="A462" s="8"/>
      <c r="B462" s="216" t="s">
        <v>177</v>
      </c>
      <c r="C462" s="6" t="s">
        <v>45</v>
      </c>
      <c r="D462" s="96">
        <f>25.44+40.48+24.48+12.73+23.61+24.16+24+34.11+81.89</f>
        <v>290.9</v>
      </c>
      <c r="E462" s="69"/>
      <c r="F462" s="1040"/>
      <c r="G462" s="1177"/>
      <c r="H462" s="1042"/>
      <c r="I462" s="1042"/>
      <c r="J462" s="1042"/>
      <c r="K462" s="1042"/>
      <c r="L462" s="1042"/>
      <c r="M462" s="1042"/>
      <c r="N462" s="1043"/>
      <c r="O462" s="1043"/>
    </row>
    <row r="463" spans="1:15" ht="12.75">
      <c r="A463" s="8"/>
      <c r="B463" s="216" t="s">
        <v>178</v>
      </c>
      <c r="C463" s="6" t="s">
        <v>45</v>
      </c>
      <c r="D463" s="96">
        <f>34.24+24.48+12.77+20.92+39.2+38.08+33.92+36.64+67.28</f>
        <v>307.53</v>
      </c>
      <c r="E463" s="69"/>
      <c r="F463" s="1040"/>
      <c r="G463" s="1177"/>
      <c r="H463" s="1042"/>
      <c r="I463" s="1042"/>
      <c r="J463" s="1042"/>
      <c r="K463" s="1042"/>
      <c r="L463" s="1042"/>
      <c r="M463" s="1042"/>
      <c r="N463" s="1043"/>
      <c r="O463" s="1043"/>
    </row>
    <row r="464" spans="1:15" ht="12.75">
      <c r="A464" s="8"/>
      <c r="B464" s="216" t="s">
        <v>53</v>
      </c>
      <c r="C464" s="6" t="s">
        <v>45</v>
      </c>
      <c r="D464" s="96">
        <f>SUM(D461:D463)</f>
        <v>698.68</v>
      </c>
      <c r="E464" s="69"/>
      <c r="F464" s="1040">
        <f>E464*D464</f>
        <v>0</v>
      </c>
      <c r="G464" s="1177">
        <v>2.25</v>
      </c>
      <c r="H464" s="1042"/>
      <c r="I464" s="1042"/>
      <c r="J464" s="1042"/>
      <c r="K464" s="1042"/>
      <c r="L464" s="1042"/>
      <c r="M464" s="1042"/>
      <c r="N464" s="1043">
        <f>E464*1.2</f>
        <v>0</v>
      </c>
      <c r="O464" s="1043">
        <f>N464*D464</f>
        <v>0</v>
      </c>
    </row>
    <row r="465" spans="1:15" ht="153">
      <c r="A465" s="8">
        <v>17.05</v>
      </c>
      <c r="B465" s="216" t="s">
        <v>150</v>
      </c>
      <c r="C465" s="6"/>
      <c r="D465" s="265"/>
      <c r="E465" s="140"/>
      <c r="F465" s="1040"/>
      <c r="G465" s="1177"/>
      <c r="H465" s="1138"/>
      <c r="I465" s="1138"/>
      <c r="J465" s="1042"/>
      <c r="K465" s="1042"/>
      <c r="L465" s="1042"/>
      <c r="M465" s="1042"/>
      <c r="N465" s="1043"/>
      <c r="O465" s="1043"/>
    </row>
    <row r="466" spans="1:15" s="128" customFormat="1" ht="12.75">
      <c r="A466" s="226"/>
      <c r="B466" s="248" t="s">
        <v>67</v>
      </c>
      <c r="C466" s="142"/>
      <c r="D466" s="225"/>
      <c r="E466" s="246"/>
      <c r="F466" s="247"/>
      <c r="G466" s="1145"/>
      <c r="H466" s="1161"/>
      <c r="I466" s="126"/>
      <c r="J466" s="127"/>
      <c r="K466" s="1161"/>
      <c r="L466" s="127"/>
      <c r="M466" s="1161"/>
      <c r="N466" s="598"/>
      <c r="O466" s="598"/>
    </row>
    <row r="467" spans="1:15" s="128" customFormat="1" ht="12.75">
      <c r="A467" s="226"/>
      <c r="B467" s="248" t="s">
        <v>320</v>
      </c>
      <c r="C467" s="224" t="s">
        <v>45</v>
      </c>
      <c r="D467" s="225">
        <f>2.62+2.62+4.23</f>
        <v>9.47</v>
      </c>
      <c r="E467" s="249"/>
      <c r="F467" s="250"/>
      <c r="G467" s="1145"/>
      <c r="H467" s="1161"/>
      <c r="I467" s="126"/>
      <c r="J467" s="127"/>
      <c r="K467" s="1161"/>
      <c r="L467" s="127"/>
      <c r="M467" s="1161"/>
      <c r="N467" s="598"/>
      <c r="O467" s="598"/>
    </row>
    <row r="468" spans="1:15" s="128" customFormat="1" ht="12.75">
      <c r="A468" s="226"/>
      <c r="B468" s="248" t="s">
        <v>177</v>
      </c>
      <c r="C468" s="142"/>
      <c r="D468" s="109"/>
      <c r="E468" s="142"/>
      <c r="F468" s="142"/>
      <c r="H468" s="1161"/>
      <c r="I468" s="126"/>
      <c r="J468" s="127"/>
      <c r="K468" s="1161"/>
      <c r="L468" s="127"/>
      <c r="M468" s="1161"/>
      <c r="N468" s="598"/>
      <c r="O468" s="598"/>
    </row>
    <row r="469" spans="1:15" s="128" customFormat="1" ht="12.75">
      <c r="A469" s="226"/>
      <c r="B469" s="248" t="s">
        <v>320</v>
      </c>
      <c r="C469" s="6" t="s">
        <v>45</v>
      </c>
      <c r="D469" s="229">
        <f>3.39+3.4+3.23</f>
        <v>10.02</v>
      </c>
      <c r="E469" s="249"/>
      <c r="F469" s="250"/>
      <c r="G469" s="1145"/>
      <c r="H469" s="1161"/>
      <c r="I469" s="126"/>
      <c r="J469" s="127"/>
      <c r="K469" s="1161"/>
      <c r="L469" s="127"/>
      <c r="M469" s="1161"/>
      <c r="N469" s="598"/>
      <c r="O469" s="598"/>
    </row>
    <row r="470" spans="1:15" s="128" customFormat="1" ht="12.75">
      <c r="A470" s="226"/>
      <c r="B470" s="227" t="s">
        <v>94</v>
      </c>
      <c r="C470" s="228" t="s">
        <v>45</v>
      </c>
      <c r="D470" s="229">
        <f>255</f>
        <v>255</v>
      </c>
      <c r="E470" s="249"/>
      <c r="F470" s="250"/>
      <c r="G470" s="1145"/>
      <c r="H470" s="1161"/>
      <c r="I470" s="126"/>
      <c r="J470" s="127"/>
      <c r="K470" s="1161"/>
      <c r="L470" s="127"/>
      <c r="M470" s="1161"/>
      <c r="N470" s="598"/>
      <c r="O470" s="598"/>
    </row>
    <row r="471" spans="1:15" s="128" customFormat="1" ht="12.75">
      <c r="A471" s="226"/>
      <c r="B471" s="230" t="s">
        <v>53</v>
      </c>
      <c r="C471" s="228"/>
      <c r="D471" s="229">
        <f>SUM(D467:D470)</f>
        <v>274.49</v>
      </c>
      <c r="E471" s="69"/>
      <c r="F471" s="1040">
        <f>D471*E471</f>
        <v>0</v>
      </c>
      <c r="G471" s="1145">
        <v>2.25</v>
      </c>
      <c r="H471" s="1161"/>
      <c r="I471" s="126"/>
      <c r="J471" s="127"/>
      <c r="K471" s="1161"/>
      <c r="L471" s="127"/>
      <c r="M471" s="1161"/>
      <c r="N471" s="1043">
        <f>E471*1.2</f>
        <v>0</v>
      </c>
      <c r="O471" s="1043">
        <f>N471*D471</f>
        <v>0</v>
      </c>
    </row>
    <row r="472" spans="1:15" ht="15">
      <c r="A472" s="8"/>
      <c r="B472" s="266"/>
      <c r="C472" s="6"/>
      <c r="D472" s="265"/>
      <c r="E472" s="140"/>
      <c r="F472" s="1040"/>
      <c r="G472" s="1177"/>
      <c r="H472" s="1138"/>
      <c r="I472" s="1138"/>
      <c r="J472" s="1042"/>
      <c r="K472" s="1042"/>
      <c r="L472" s="1042"/>
      <c r="M472" s="1042"/>
      <c r="N472" s="1043"/>
      <c r="O472" s="1043"/>
    </row>
    <row r="473" spans="1:15" ht="15">
      <c r="A473" s="8"/>
      <c r="B473" s="266"/>
      <c r="C473" s="115"/>
      <c r="D473" s="118"/>
      <c r="E473" s="140"/>
      <c r="F473" s="1040"/>
      <c r="G473" s="1177"/>
      <c r="H473" s="1138"/>
      <c r="I473" s="1138"/>
      <c r="J473" s="1042"/>
      <c r="K473" s="1042"/>
      <c r="L473" s="1042"/>
      <c r="M473" s="1042"/>
      <c r="N473" s="1043"/>
      <c r="O473" s="1043"/>
    </row>
    <row r="474" spans="1:15" ht="15.75">
      <c r="A474" s="610">
        <v>17</v>
      </c>
      <c r="B474" s="678" t="s">
        <v>144</v>
      </c>
      <c r="C474" s="649"/>
      <c r="D474" s="650"/>
      <c r="E474" s="612" t="s">
        <v>166</v>
      </c>
      <c r="F474" s="1180">
        <f>SUM(F445:F472)</f>
        <v>0</v>
      </c>
      <c r="G474" s="1178"/>
      <c r="H474" s="1121"/>
      <c r="I474" s="1121"/>
      <c r="J474" s="1121"/>
      <c r="K474" s="1121"/>
      <c r="L474" s="1121"/>
      <c r="M474" s="1121"/>
      <c r="N474" s="1122"/>
      <c r="O474" s="1135">
        <f>SUM(O445:O472)</f>
        <v>0</v>
      </c>
    </row>
    <row r="475" spans="1:15" ht="12.75">
      <c r="A475" s="38"/>
      <c r="B475" s="38"/>
      <c r="C475" s="38"/>
      <c r="D475" s="38"/>
      <c r="E475" s="38"/>
      <c r="F475" s="1042"/>
      <c r="G475" s="1042"/>
      <c r="H475" s="1042"/>
      <c r="I475" s="1042"/>
      <c r="J475" s="1042"/>
      <c r="K475" s="1042"/>
      <c r="L475" s="1042"/>
      <c r="M475" s="1042"/>
      <c r="N475" s="1043"/>
      <c r="O475" s="1043"/>
    </row>
    <row r="476" spans="1:15" ht="12.75">
      <c r="A476" s="215"/>
      <c r="B476" s="215"/>
      <c r="C476" s="215"/>
      <c r="D476" s="215"/>
      <c r="E476" s="215"/>
      <c r="F476" s="1148"/>
      <c r="G476" s="1042"/>
      <c r="H476" s="1042"/>
      <c r="I476" s="1042"/>
      <c r="J476" s="1042"/>
      <c r="K476" s="1042"/>
      <c r="L476" s="1042"/>
      <c r="M476" s="1042"/>
      <c r="N476" s="1043"/>
      <c r="O476" s="1043"/>
    </row>
    <row r="477" spans="1:15" ht="15.75">
      <c r="A477" s="610">
        <v>18</v>
      </c>
      <c r="B477" s="622" t="s">
        <v>36</v>
      </c>
      <c r="C477" s="623"/>
      <c r="D477" s="679"/>
      <c r="E477" s="661"/>
      <c r="F477" s="1140"/>
      <c r="G477" s="1178"/>
      <c r="H477" s="1121"/>
      <c r="I477" s="1121"/>
      <c r="J477" s="1121"/>
      <c r="K477" s="1121"/>
      <c r="L477" s="1121"/>
      <c r="M477" s="1121"/>
      <c r="N477" s="1122"/>
      <c r="O477" s="1122"/>
    </row>
    <row r="478" spans="1:15" ht="25.5">
      <c r="A478" s="630" t="s">
        <v>38</v>
      </c>
      <c r="B478" s="629" t="s">
        <v>39</v>
      </c>
      <c r="C478" s="628" t="s">
        <v>40</v>
      </c>
      <c r="D478" s="628" t="s">
        <v>41</v>
      </c>
      <c r="E478" s="599" t="s">
        <v>1261</v>
      </c>
      <c r="F478" s="599" t="s">
        <v>1262</v>
      </c>
      <c r="G478" s="1123"/>
      <c r="H478" s="1124"/>
      <c r="I478" s="1124"/>
      <c r="J478" s="1125"/>
      <c r="K478" s="1125"/>
      <c r="L478" s="1124"/>
      <c r="M478" s="1125"/>
      <c r="N478" s="969" t="s">
        <v>1264</v>
      </c>
      <c r="O478" s="969" t="s">
        <v>1263</v>
      </c>
    </row>
    <row r="479" spans="1:15" ht="76.5">
      <c r="A479" s="8">
        <v>18.01</v>
      </c>
      <c r="B479" s="107" t="s">
        <v>152</v>
      </c>
      <c r="C479" s="6" t="s">
        <v>47</v>
      </c>
      <c r="D479" s="93">
        <v>3</v>
      </c>
      <c r="E479" s="69"/>
      <c r="F479" s="1040">
        <f aca="true" t="shared" si="6" ref="F479:F485">D479*E479</f>
        <v>0</v>
      </c>
      <c r="G479" s="1177">
        <v>5</v>
      </c>
      <c r="H479" s="1042"/>
      <c r="I479" s="1042"/>
      <c r="J479" s="1042"/>
      <c r="K479" s="1042"/>
      <c r="L479" s="1042"/>
      <c r="M479" s="1042"/>
      <c r="N479" s="1043">
        <f aca="true" t="shared" si="7" ref="N479:N485">E479*1.2</f>
        <v>0</v>
      </c>
      <c r="O479" s="1043">
        <f aca="true" t="shared" si="8" ref="O479:O485">N479*D479</f>
        <v>0</v>
      </c>
    </row>
    <row r="480" spans="1:15" ht="127.5">
      <c r="A480" s="8">
        <v>18.02</v>
      </c>
      <c r="B480" s="107" t="s">
        <v>153</v>
      </c>
      <c r="C480" s="6" t="s">
        <v>47</v>
      </c>
      <c r="D480" s="93">
        <v>1</v>
      </c>
      <c r="E480" s="69"/>
      <c r="F480" s="1040">
        <f t="shared" si="6"/>
        <v>0</v>
      </c>
      <c r="G480" s="1177">
        <v>80</v>
      </c>
      <c r="H480" s="1042"/>
      <c r="I480" s="1042"/>
      <c r="J480" s="1042"/>
      <c r="K480" s="1042"/>
      <c r="L480" s="1042"/>
      <c r="M480" s="1042"/>
      <c r="N480" s="1043">
        <f t="shared" si="7"/>
        <v>0</v>
      </c>
      <c r="O480" s="1043">
        <f t="shared" si="8"/>
        <v>0</v>
      </c>
    </row>
    <row r="481" spans="1:15" ht="114.75">
      <c r="A481" s="8">
        <v>18.03</v>
      </c>
      <c r="B481" s="107" t="s">
        <v>246</v>
      </c>
      <c r="C481" s="6" t="s">
        <v>47</v>
      </c>
      <c r="D481" s="93">
        <v>18</v>
      </c>
      <c r="E481" s="69"/>
      <c r="F481" s="1040">
        <f t="shared" si="6"/>
        <v>0</v>
      </c>
      <c r="G481" s="1177">
        <v>5</v>
      </c>
      <c r="H481" s="1042"/>
      <c r="I481" s="1042"/>
      <c r="J481" s="1042"/>
      <c r="K481" s="1042"/>
      <c r="L481" s="1042"/>
      <c r="M481" s="1042"/>
      <c r="N481" s="1043">
        <f t="shared" si="7"/>
        <v>0</v>
      </c>
      <c r="O481" s="1043">
        <f t="shared" si="8"/>
        <v>0</v>
      </c>
    </row>
    <row r="482" spans="1:15" ht="38.25">
      <c r="A482" s="8">
        <v>18.04</v>
      </c>
      <c r="B482" s="108" t="s">
        <v>222</v>
      </c>
      <c r="C482" s="6" t="s">
        <v>47</v>
      </c>
      <c r="D482" s="106">
        <v>1</v>
      </c>
      <c r="E482" s="69"/>
      <c r="F482" s="1040">
        <f t="shared" si="6"/>
        <v>0</v>
      </c>
      <c r="G482" s="1177">
        <v>12</v>
      </c>
      <c r="H482" s="1042"/>
      <c r="I482" s="1042"/>
      <c r="J482" s="1042"/>
      <c r="K482" s="1042"/>
      <c r="L482" s="1042"/>
      <c r="M482" s="1042"/>
      <c r="N482" s="1043">
        <f t="shared" si="7"/>
        <v>0</v>
      </c>
      <c r="O482" s="1043">
        <f t="shared" si="8"/>
        <v>0</v>
      </c>
    </row>
    <row r="483" spans="1:15" ht="76.5">
      <c r="A483" s="8">
        <v>18.05</v>
      </c>
      <c r="B483" s="107" t="s">
        <v>154</v>
      </c>
      <c r="C483" s="6" t="s">
        <v>47</v>
      </c>
      <c r="D483" s="7">
        <v>1</v>
      </c>
      <c r="E483" s="69"/>
      <c r="F483" s="1040">
        <f t="shared" si="6"/>
        <v>0</v>
      </c>
      <c r="G483" s="1177">
        <v>60</v>
      </c>
      <c r="H483" s="1042"/>
      <c r="I483" s="1042"/>
      <c r="J483" s="1042"/>
      <c r="K483" s="1042"/>
      <c r="L483" s="1042"/>
      <c r="M483" s="1042"/>
      <c r="N483" s="1043">
        <f t="shared" si="7"/>
        <v>0</v>
      </c>
      <c r="O483" s="1043">
        <f t="shared" si="8"/>
        <v>0</v>
      </c>
    </row>
    <row r="484" spans="1:15" ht="89.25">
      <c r="A484" s="49">
        <v>18.06</v>
      </c>
      <c r="B484" s="63" t="s">
        <v>214</v>
      </c>
      <c r="C484" s="6" t="s">
        <v>47</v>
      </c>
      <c r="D484" s="109">
        <v>1</v>
      </c>
      <c r="E484" s="69"/>
      <c r="F484" s="1040">
        <f t="shared" si="6"/>
        <v>0</v>
      </c>
      <c r="G484" s="1177">
        <v>35</v>
      </c>
      <c r="H484" s="1042"/>
      <c r="I484" s="1042"/>
      <c r="J484" s="1042"/>
      <c r="K484" s="1042"/>
      <c r="L484" s="1042"/>
      <c r="M484" s="1042"/>
      <c r="N484" s="1043">
        <f t="shared" si="7"/>
        <v>0</v>
      </c>
      <c r="O484" s="1043">
        <f t="shared" si="8"/>
        <v>0</v>
      </c>
    </row>
    <row r="485" spans="1:15" s="150" customFormat="1" ht="114.75">
      <c r="A485" s="81">
        <v>18.07</v>
      </c>
      <c r="B485" s="255" t="s">
        <v>322</v>
      </c>
      <c r="C485" s="74" t="s">
        <v>47</v>
      </c>
      <c r="D485" s="285">
        <v>1</v>
      </c>
      <c r="E485" s="182"/>
      <c r="F485" s="1151">
        <f t="shared" si="6"/>
        <v>0</v>
      </c>
      <c r="G485" s="1181">
        <v>400</v>
      </c>
      <c r="H485" s="1154"/>
      <c r="I485" s="1154"/>
      <c r="J485" s="1154"/>
      <c r="K485" s="1154"/>
      <c r="L485" s="1154"/>
      <c r="M485" s="1154"/>
      <c r="N485" s="1043">
        <f t="shared" si="7"/>
        <v>0</v>
      </c>
      <c r="O485" s="1043">
        <f t="shared" si="8"/>
        <v>0</v>
      </c>
    </row>
    <row r="486" spans="1:15" ht="15.75">
      <c r="A486" s="610">
        <v>18</v>
      </c>
      <c r="B486" s="622" t="s">
        <v>36</v>
      </c>
      <c r="C486" s="623"/>
      <c r="D486" s="679"/>
      <c r="E486" s="661" t="s">
        <v>167</v>
      </c>
      <c r="F486" s="1140">
        <f>SUM(F479:F485)</f>
        <v>0</v>
      </c>
      <c r="G486" s="1178"/>
      <c r="H486" s="1121"/>
      <c r="I486" s="1121"/>
      <c r="J486" s="1121"/>
      <c r="K486" s="1121"/>
      <c r="L486" s="1121"/>
      <c r="M486" s="1121"/>
      <c r="N486" s="1122"/>
      <c r="O486" s="1135">
        <f>SUM(O479:O485)</f>
        <v>0</v>
      </c>
    </row>
    <row r="487" spans="1:15" ht="12.75">
      <c r="A487" s="31"/>
      <c r="B487" s="32"/>
      <c r="C487" s="26"/>
      <c r="D487" s="27"/>
      <c r="E487" s="33"/>
      <c r="F487" s="1133"/>
      <c r="G487" s="1042"/>
      <c r="H487" s="1042"/>
      <c r="I487" s="1042"/>
      <c r="J487" s="1042"/>
      <c r="K487" s="1042"/>
      <c r="L487" s="1042"/>
      <c r="M487" s="1042"/>
      <c r="N487" s="1043"/>
      <c r="O487" s="1043"/>
    </row>
    <row r="488" spans="1:15" ht="12.75">
      <c r="A488" s="31"/>
      <c r="B488" s="32"/>
      <c r="C488" s="26"/>
      <c r="D488" s="27"/>
      <c r="E488" s="33"/>
      <c r="F488" s="1133"/>
      <c r="G488" s="1042"/>
      <c r="H488" s="1042"/>
      <c r="I488" s="1042"/>
      <c r="J488" s="1042"/>
      <c r="K488" s="1042"/>
      <c r="L488" s="1042"/>
      <c r="M488" s="1042"/>
      <c r="N488" s="1043"/>
      <c r="O488" s="1043"/>
    </row>
    <row r="489" spans="1:15" ht="12.75">
      <c r="A489" s="31"/>
      <c r="B489" s="32"/>
      <c r="C489" s="26"/>
      <c r="D489" s="27"/>
      <c r="E489" s="33"/>
      <c r="F489" s="1133"/>
      <c r="G489" s="1042"/>
      <c r="H489" s="1042"/>
      <c r="I489" s="1042"/>
      <c r="J489" s="1042"/>
      <c r="K489" s="1042"/>
      <c r="L489" s="1042"/>
      <c r="M489" s="1042"/>
      <c r="N489" s="1043"/>
      <c r="O489" s="1043"/>
    </row>
    <row r="490" spans="1:15" ht="15.75">
      <c r="A490" s="621">
        <v>19</v>
      </c>
      <c r="B490" s="682" t="s">
        <v>156</v>
      </c>
      <c r="C490" s="683"/>
      <c r="D490" s="660"/>
      <c r="E490" s="680"/>
      <c r="F490" s="1182"/>
      <c r="G490" s="1121"/>
      <c r="H490" s="1121"/>
      <c r="I490" s="1121"/>
      <c r="J490" s="1121"/>
      <c r="K490" s="1121"/>
      <c r="L490" s="1121"/>
      <c r="M490" s="1121"/>
      <c r="N490" s="1122"/>
      <c r="O490" s="1122"/>
    </row>
    <row r="491" spans="1:15" ht="15">
      <c r="A491" s="12">
        <v>0</v>
      </c>
      <c r="B491" s="13" t="s">
        <v>20</v>
      </c>
      <c r="C491" s="14"/>
      <c r="D491" s="23"/>
      <c r="E491" s="24" t="s">
        <v>50</v>
      </c>
      <c r="F491" s="1183">
        <f>F19</f>
        <v>0</v>
      </c>
      <c r="G491" s="1042"/>
      <c r="H491" s="1042"/>
      <c r="I491" s="1042"/>
      <c r="J491" s="1042"/>
      <c r="K491" s="1042"/>
      <c r="L491" s="1042"/>
      <c r="M491" s="1042"/>
      <c r="N491" s="1043"/>
      <c r="O491" s="1043">
        <f>O19</f>
        <v>0</v>
      </c>
    </row>
    <row r="492" spans="1:15" ht="15">
      <c r="A492" s="12">
        <v>1</v>
      </c>
      <c r="B492" s="13" t="s">
        <v>171</v>
      </c>
      <c r="C492" s="14"/>
      <c r="D492" s="23"/>
      <c r="E492" s="24" t="s">
        <v>239</v>
      </c>
      <c r="F492" s="1183">
        <f>F32</f>
        <v>0</v>
      </c>
      <c r="G492" s="1042"/>
      <c r="H492" s="1042"/>
      <c r="I492" s="1042"/>
      <c r="J492" s="1042"/>
      <c r="K492" s="1042"/>
      <c r="L492" s="1042"/>
      <c r="M492" s="1042"/>
      <c r="N492" s="1043"/>
      <c r="O492" s="1043">
        <f>O32</f>
        <v>0</v>
      </c>
    </row>
    <row r="493" spans="1:15" ht="15">
      <c r="A493" s="12">
        <v>2</v>
      </c>
      <c r="B493" s="13" t="s">
        <v>184</v>
      </c>
      <c r="C493" s="14"/>
      <c r="D493" s="23"/>
      <c r="E493" s="24" t="s">
        <v>96</v>
      </c>
      <c r="F493" s="1183">
        <f>F56</f>
        <v>0</v>
      </c>
      <c r="G493" s="1042"/>
      <c r="H493" s="1042"/>
      <c r="I493" s="1042"/>
      <c r="J493" s="1042"/>
      <c r="K493" s="1042"/>
      <c r="L493" s="1042"/>
      <c r="M493" s="1042"/>
      <c r="N493" s="1043"/>
      <c r="O493" s="1043">
        <f>O56</f>
        <v>0</v>
      </c>
    </row>
    <row r="494" spans="1:15" ht="15">
      <c r="A494" s="12">
        <v>3</v>
      </c>
      <c r="B494" s="20" t="s">
        <v>21</v>
      </c>
      <c r="C494" s="14"/>
      <c r="D494" s="23"/>
      <c r="E494" s="24" t="s">
        <v>97</v>
      </c>
      <c r="F494" s="1183">
        <f>F103</f>
        <v>0</v>
      </c>
      <c r="G494" s="1042"/>
      <c r="H494" s="1042"/>
      <c r="I494" s="1042"/>
      <c r="J494" s="1042"/>
      <c r="K494" s="1042"/>
      <c r="L494" s="1042"/>
      <c r="M494" s="1042"/>
      <c r="N494" s="1043"/>
      <c r="O494" s="1043">
        <f>O103</f>
        <v>0</v>
      </c>
    </row>
    <row r="495" spans="1:15" ht="15">
      <c r="A495" s="12">
        <v>4</v>
      </c>
      <c r="B495" s="20" t="s">
        <v>22</v>
      </c>
      <c r="C495" s="14"/>
      <c r="D495" s="23"/>
      <c r="E495" s="24" t="s">
        <v>157</v>
      </c>
      <c r="F495" s="1183">
        <f>F171</f>
        <v>0</v>
      </c>
      <c r="G495" s="1042"/>
      <c r="H495" s="1042"/>
      <c r="I495" s="1042"/>
      <c r="J495" s="1042"/>
      <c r="K495" s="1042"/>
      <c r="L495" s="1042"/>
      <c r="M495" s="1042"/>
      <c r="N495" s="1043"/>
      <c r="O495" s="1043">
        <f>O171</f>
        <v>0</v>
      </c>
    </row>
    <row r="496" spans="1:15" ht="15">
      <c r="A496" s="12">
        <v>5</v>
      </c>
      <c r="B496" s="13" t="s">
        <v>23</v>
      </c>
      <c r="C496" s="14"/>
      <c r="D496" s="23"/>
      <c r="E496" s="24" t="s">
        <v>158</v>
      </c>
      <c r="F496" s="1183">
        <f>F182</f>
        <v>0</v>
      </c>
      <c r="G496" s="1042"/>
      <c r="H496" s="1042"/>
      <c r="I496" s="1042"/>
      <c r="J496" s="1042"/>
      <c r="K496" s="1042"/>
      <c r="L496" s="1042"/>
      <c r="M496" s="1042"/>
      <c r="N496" s="1043"/>
      <c r="O496" s="1043">
        <f>O182</f>
        <v>0</v>
      </c>
    </row>
    <row r="497" spans="1:15" ht="15">
      <c r="A497" s="12">
        <v>6</v>
      </c>
      <c r="B497" s="13" t="s">
        <v>24</v>
      </c>
      <c r="C497" s="14"/>
      <c r="D497" s="23"/>
      <c r="E497" s="24" t="s">
        <v>159</v>
      </c>
      <c r="F497" s="1183">
        <f>F196</f>
        <v>0</v>
      </c>
      <c r="G497" s="1042"/>
      <c r="H497" s="1042"/>
      <c r="I497" s="1042"/>
      <c r="J497" s="1042"/>
      <c r="K497" s="1042"/>
      <c r="L497" s="1042"/>
      <c r="M497" s="1042"/>
      <c r="N497" s="1043"/>
      <c r="O497" s="1043">
        <f>O196</f>
        <v>0</v>
      </c>
    </row>
    <row r="498" spans="1:15" ht="15">
      <c r="A498" s="12">
        <v>7</v>
      </c>
      <c r="B498" s="122" t="s">
        <v>25</v>
      </c>
      <c r="C498" s="14"/>
      <c r="D498" s="23"/>
      <c r="E498" s="24" t="s">
        <v>160</v>
      </c>
      <c r="F498" s="1183">
        <f>F209</f>
        <v>0</v>
      </c>
      <c r="G498" s="1042"/>
      <c r="H498" s="1042"/>
      <c r="I498" s="1042"/>
      <c r="J498" s="1042"/>
      <c r="K498" s="1042"/>
      <c r="L498" s="1042"/>
      <c r="M498" s="1042"/>
      <c r="N498" s="1043"/>
      <c r="O498" s="1043">
        <f>O209</f>
        <v>0</v>
      </c>
    </row>
    <row r="499" spans="1:15" ht="15">
      <c r="A499" s="12">
        <v>8</v>
      </c>
      <c r="B499" s="123" t="s">
        <v>26</v>
      </c>
      <c r="C499" s="14"/>
      <c r="D499" s="23"/>
      <c r="E499" s="24" t="s">
        <v>161</v>
      </c>
      <c r="F499" s="1183">
        <f>F249</f>
        <v>0</v>
      </c>
      <c r="G499" s="1042"/>
      <c r="H499" s="1042"/>
      <c r="I499" s="1042"/>
      <c r="J499" s="1042"/>
      <c r="K499" s="1042"/>
      <c r="L499" s="1042"/>
      <c r="M499" s="1042"/>
      <c r="N499" s="1043"/>
      <c r="O499" s="1043">
        <f>O249</f>
        <v>0</v>
      </c>
    </row>
    <row r="500" spans="1:15" ht="15">
      <c r="A500" s="12">
        <v>9</v>
      </c>
      <c r="B500" s="123" t="s">
        <v>27</v>
      </c>
      <c r="C500" s="14"/>
      <c r="D500" s="23"/>
      <c r="E500" s="24" t="s">
        <v>162</v>
      </c>
      <c r="F500" s="1183">
        <f>F287</f>
        <v>0</v>
      </c>
      <c r="G500" s="1042"/>
      <c r="H500" s="1042"/>
      <c r="I500" s="1042"/>
      <c r="J500" s="1042"/>
      <c r="K500" s="1042"/>
      <c r="L500" s="1042"/>
      <c r="M500" s="1042"/>
      <c r="N500" s="1043"/>
      <c r="O500" s="1043">
        <f>O287</f>
        <v>0</v>
      </c>
    </row>
    <row r="501" spans="1:15" ht="15">
      <c r="A501" s="12">
        <v>10</v>
      </c>
      <c r="B501" s="20" t="s">
        <v>28</v>
      </c>
      <c r="C501" s="14"/>
      <c r="D501" s="23"/>
      <c r="E501" s="24" t="s">
        <v>163</v>
      </c>
      <c r="F501" s="1183">
        <f>F304</f>
        <v>0</v>
      </c>
      <c r="G501" s="1042"/>
      <c r="H501" s="1042"/>
      <c r="I501" s="1042"/>
      <c r="J501" s="1042"/>
      <c r="K501" s="1042"/>
      <c r="L501" s="1042"/>
      <c r="M501" s="1042"/>
      <c r="N501" s="1043"/>
      <c r="O501" s="1043">
        <f>O304</f>
        <v>0</v>
      </c>
    </row>
    <row r="502" spans="1:15" ht="15">
      <c r="A502" s="12">
        <v>11</v>
      </c>
      <c r="B502" s="20" t="s">
        <v>29</v>
      </c>
      <c r="C502" s="14"/>
      <c r="D502" s="23"/>
      <c r="E502" s="24" t="s">
        <v>122</v>
      </c>
      <c r="F502" s="1183">
        <f>F315</f>
        <v>0</v>
      </c>
      <c r="G502" s="1042"/>
      <c r="H502" s="1042"/>
      <c r="I502" s="1042"/>
      <c r="J502" s="1042"/>
      <c r="K502" s="1042"/>
      <c r="L502" s="1042"/>
      <c r="M502" s="1042"/>
      <c r="N502" s="1043"/>
      <c r="O502" s="1043">
        <f>O315</f>
        <v>0</v>
      </c>
    </row>
    <row r="503" spans="1:15" ht="15">
      <c r="A503" s="12">
        <v>12</v>
      </c>
      <c r="B503" s="20" t="s">
        <v>30</v>
      </c>
      <c r="C503" s="14"/>
      <c r="D503" s="23"/>
      <c r="E503" s="24" t="s">
        <v>164</v>
      </c>
      <c r="F503" s="1183">
        <f>F323</f>
        <v>0</v>
      </c>
      <c r="G503" s="1042"/>
      <c r="H503" s="1042"/>
      <c r="I503" s="1042"/>
      <c r="J503" s="1042"/>
      <c r="K503" s="1042"/>
      <c r="L503" s="1042"/>
      <c r="M503" s="1042"/>
      <c r="N503" s="1043"/>
      <c r="O503" s="1043">
        <f>O323</f>
        <v>0</v>
      </c>
    </row>
    <row r="504" spans="1:15" ht="15">
      <c r="A504" s="12">
        <v>13</v>
      </c>
      <c r="B504" s="20" t="s">
        <v>31</v>
      </c>
      <c r="C504" s="14"/>
      <c r="D504" s="23"/>
      <c r="E504" s="24" t="s">
        <v>132</v>
      </c>
      <c r="F504" s="1183">
        <f>F366</f>
        <v>0</v>
      </c>
      <c r="G504" s="1042"/>
      <c r="H504" s="1042"/>
      <c r="I504" s="1042"/>
      <c r="J504" s="1042"/>
      <c r="K504" s="1042"/>
      <c r="L504" s="1042"/>
      <c r="M504" s="1042"/>
      <c r="N504" s="1043"/>
      <c r="O504" s="1043">
        <f>O366</f>
        <v>0</v>
      </c>
    </row>
    <row r="505" spans="1:15" ht="15">
      <c r="A505" s="12">
        <v>14</v>
      </c>
      <c r="B505" s="20" t="s">
        <v>32</v>
      </c>
      <c r="C505" s="14"/>
      <c r="D505" s="23"/>
      <c r="E505" s="24" t="s">
        <v>143</v>
      </c>
      <c r="F505" s="1183">
        <f>F378</f>
        <v>0</v>
      </c>
      <c r="G505" s="1042"/>
      <c r="H505" s="1042"/>
      <c r="I505" s="1042"/>
      <c r="J505" s="1042"/>
      <c r="K505" s="1042"/>
      <c r="L505" s="1042"/>
      <c r="M505" s="1042"/>
      <c r="N505" s="1043"/>
      <c r="O505" s="1043">
        <f>O378</f>
        <v>0</v>
      </c>
    </row>
    <row r="506" spans="1:15" ht="15">
      <c r="A506" s="12">
        <v>15</v>
      </c>
      <c r="B506" s="20" t="s">
        <v>33</v>
      </c>
      <c r="C506" s="14"/>
      <c r="D506" s="23"/>
      <c r="E506" s="24" t="s">
        <v>165</v>
      </c>
      <c r="F506" s="1183">
        <f>F426</f>
        <v>0</v>
      </c>
      <c r="G506" s="1042"/>
      <c r="H506" s="1042"/>
      <c r="I506" s="1042"/>
      <c r="J506" s="1042"/>
      <c r="K506" s="1042"/>
      <c r="L506" s="1042"/>
      <c r="M506" s="1042"/>
      <c r="N506" s="1043"/>
      <c r="O506" s="1043">
        <f>O426</f>
        <v>0</v>
      </c>
    </row>
    <row r="507" spans="1:15" ht="15">
      <c r="A507" s="12">
        <v>16</v>
      </c>
      <c r="B507" s="20" t="s">
        <v>34</v>
      </c>
      <c r="C507" s="14"/>
      <c r="D507" s="23"/>
      <c r="E507" s="24" t="s">
        <v>155</v>
      </c>
      <c r="F507" s="1183">
        <f>F439</f>
        <v>0</v>
      </c>
      <c r="G507" s="1042"/>
      <c r="H507" s="1042"/>
      <c r="I507" s="1042"/>
      <c r="J507" s="1042"/>
      <c r="K507" s="1042"/>
      <c r="L507" s="1042"/>
      <c r="M507" s="1042"/>
      <c r="N507" s="1043"/>
      <c r="O507" s="1043">
        <f>O439</f>
        <v>0</v>
      </c>
    </row>
    <row r="508" spans="1:15" ht="15">
      <c r="A508" s="12">
        <v>17</v>
      </c>
      <c r="B508" s="20" t="s">
        <v>35</v>
      </c>
      <c r="C508" s="14"/>
      <c r="D508" s="23"/>
      <c r="E508" s="24" t="s">
        <v>166</v>
      </c>
      <c r="F508" s="1183">
        <f>F474</f>
        <v>0</v>
      </c>
      <c r="G508" s="1042"/>
      <c r="H508" s="1042"/>
      <c r="I508" s="1042"/>
      <c r="J508" s="1042"/>
      <c r="K508" s="1042"/>
      <c r="L508" s="1042"/>
      <c r="M508" s="1042"/>
      <c r="N508" s="1043"/>
      <c r="O508" s="1043">
        <f>O474</f>
        <v>0</v>
      </c>
    </row>
    <row r="509" spans="1:15" ht="15">
      <c r="A509" s="12">
        <v>18</v>
      </c>
      <c r="B509" s="15" t="s">
        <v>36</v>
      </c>
      <c r="C509" s="14"/>
      <c r="D509" s="23"/>
      <c r="E509" s="24" t="s">
        <v>167</v>
      </c>
      <c r="F509" s="1183">
        <f>F486</f>
        <v>0</v>
      </c>
      <c r="G509" s="1042"/>
      <c r="H509" s="1042"/>
      <c r="I509" s="1042"/>
      <c r="J509" s="1042"/>
      <c r="K509" s="1042"/>
      <c r="L509" s="1042"/>
      <c r="M509" s="1042"/>
      <c r="N509" s="1043"/>
      <c r="O509" s="1043">
        <f>O486</f>
        <v>0</v>
      </c>
    </row>
    <row r="510" spans="1:15" ht="15.75">
      <c r="A510" s="610">
        <v>19</v>
      </c>
      <c r="B510" s="682" t="s">
        <v>156</v>
      </c>
      <c r="C510" s="683"/>
      <c r="D510" s="660"/>
      <c r="E510" s="612" t="s">
        <v>168</v>
      </c>
      <c r="F510" s="1134">
        <f>SUM(F491:F509)</f>
        <v>0</v>
      </c>
      <c r="G510" s="1042">
        <f>F510/122</f>
        <v>0</v>
      </c>
      <c r="H510" s="1042">
        <f>G510/700</f>
        <v>0</v>
      </c>
      <c r="I510" s="1042"/>
      <c r="J510" s="1042"/>
      <c r="K510" s="1042"/>
      <c r="L510" s="1042"/>
      <c r="M510" s="1042"/>
      <c r="N510" s="1122"/>
      <c r="O510" s="1135">
        <f>SUM(O491:O509)</f>
        <v>0</v>
      </c>
    </row>
    <row r="511" spans="1:15" ht="15.75">
      <c r="A511" s="16"/>
      <c r="B511" s="17"/>
      <c r="C511" s="11"/>
      <c r="D511" s="36"/>
      <c r="E511" s="37"/>
      <c r="F511" s="37"/>
      <c r="N511" s="89"/>
      <c r="O511" s="89"/>
    </row>
    <row r="512" spans="1:15" ht="12.75">
      <c r="A512" s="31"/>
      <c r="B512" s="32"/>
      <c r="C512" s="26"/>
      <c r="D512" s="27"/>
      <c r="E512" s="28"/>
      <c r="F512" s="28"/>
      <c r="N512" s="89"/>
      <c r="O512" s="89"/>
    </row>
    <row r="513" spans="1:15" ht="30" customHeight="1">
      <c r="A513" s="1196" t="s">
        <v>323</v>
      </c>
      <c r="B513" s="1196"/>
      <c r="C513" s="1196"/>
      <c r="D513" s="1196"/>
      <c r="E513" s="1196"/>
      <c r="F513" s="1109"/>
      <c r="G513" s="38" t="s">
        <v>0</v>
      </c>
      <c r="H513" s="38">
        <v>122</v>
      </c>
      <c r="N513" s="89"/>
      <c r="O513" s="89"/>
    </row>
    <row r="514" spans="1:15" ht="12.75">
      <c r="A514" s="8"/>
      <c r="B514" s="106"/>
      <c r="C514" s="61"/>
      <c r="D514" s="7"/>
      <c r="E514" s="173"/>
      <c r="F514" s="173"/>
      <c r="N514" s="89"/>
      <c r="O514" s="89"/>
    </row>
    <row r="515" spans="1:15" ht="25.5">
      <c r="A515" s="630" t="s">
        <v>38</v>
      </c>
      <c r="B515" s="629" t="s">
        <v>39</v>
      </c>
      <c r="C515" s="628" t="s">
        <v>40</v>
      </c>
      <c r="D515" s="628" t="s">
        <v>41</v>
      </c>
      <c r="E515" s="599" t="s">
        <v>1261</v>
      </c>
      <c r="F515" s="599" t="s">
        <v>1262</v>
      </c>
      <c r="G515" s="600"/>
      <c r="H515" s="601"/>
      <c r="I515" s="601"/>
      <c r="J515" s="146"/>
      <c r="K515" s="146"/>
      <c r="L515" s="601"/>
      <c r="M515" s="146"/>
      <c r="N515" s="631" t="s">
        <v>1264</v>
      </c>
      <c r="O515" s="631" t="s">
        <v>1263</v>
      </c>
    </row>
    <row r="516" spans="1:15" ht="12.75">
      <c r="A516" s="720" t="s">
        <v>687</v>
      </c>
      <c r="B516" s="721" t="s">
        <v>689</v>
      </c>
      <c r="C516" s="722"/>
      <c r="D516" s="723"/>
      <c r="E516" s="724"/>
      <c r="F516" s="724"/>
      <c r="G516" s="725"/>
      <c r="H516" s="726"/>
      <c r="I516" s="726"/>
      <c r="J516" s="726"/>
      <c r="K516" s="726"/>
      <c r="L516" s="726"/>
      <c r="M516" s="726"/>
      <c r="N516" s="727"/>
      <c r="O516" s="727"/>
    </row>
    <row r="517" spans="1:15" ht="12.75">
      <c r="A517" s="687"/>
      <c r="B517" s="688"/>
      <c r="C517" s="688"/>
      <c r="D517" s="689"/>
      <c r="E517" s="690"/>
      <c r="F517" s="690"/>
      <c r="G517" s="305"/>
      <c r="N517" s="633"/>
      <c r="O517" s="633"/>
    </row>
    <row r="518" spans="1:15" ht="76.5" hidden="1">
      <c r="A518" s="691">
        <v>1</v>
      </c>
      <c r="B518" s="692" t="s">
        <v>690</v>
      </c>
      <c r="C518" s="125"/>
      <c r="D518" s="89"/>
      <c r="E518" s="89"/>
      <c r="F518" s="89"/>
      <c r="G518" s="303"/>
      <c r="H518" s="318"/>
      <c r="N518" s="89"/>
      <c r="O518" s="89"/>
    </row>
    <row r="519" spans="1:15" ht="12.75" hidden="1">
      <c r="A519" s="691"/>
      <c r="B519" s="693" t="s">
        <v>691</v>
      </c>
      <c r="C519" s="86" t="s">
        <v>45</v>
      </c>
      <c r="D519" s="89">
        <v>0</v>
      </c>
      <c r="E519" s="89">
        <f>G519*$I$3</f>
        <v>3240</v>
      </c>
      <c r="F519" s="89">
        <f>D519*E519</f>
        <v>0</v>
      </c>
      <c r="G519" s="319">
        <v>27</v>
      </c>
      <c r="H519" s="318"/>
      <c r="N519" s="89"/>
      <c r="O519" s="89"/>
    </row>
    <row r="520" spans="1:15" ht="12.75" hidden="1">
      <c r="A520" s="691"/>
      <c r="B520" s="693" t="s">
        <v>692</v>
      </c>
      <c r="C520" s="86" t="s">
        <v>45</v>
      </c>
      <c r="D520" s="89">
        <v>0</v>
      </c>
      <c r="E520" s="89">
        <f>G520*$I$3</f>
        <v>3240</v>
      </c>
      <c r="F520" s="89">
        <f>D520*E520</f>
        <v>0</v>
      </c>
      <c r="G520" s="319">
        <v>27</v>
      </c>
      <c r="H520" s="318"/>
      <c r="N520" s="89"/>
      <c r="O520" s="89"/>
    </row>
    <row r="521" spans="1:15" ht="12.75" hidden="1">
      <c r="A521" s="691"/>
      <c r="B521" s="693" t="s">
        <v>693</v>
      </c>
      <c r="C521" s="86" t="s">
        <v>45</v>
      </c>
      <c r="D521" s="89">
        <v>0</v>
      </c>
      <c r="E521" s="89">
        <f>G521*$I$3</f>
        <v>3240</v>
      </c>
      <c r="F521" s="89">
        <f>D521*E521</f>
        <v>0</v>
      </c>
      <c r="G521" s="319">
        <v>27</v>
      </c>
      <c r="H521" s="318"/>
      <c r="N521" s="89"/>
      <c r="O521" s="89"/>
    </row>
    <row r="522" spans="1:15" ht="12.75" hidden="1">
      <c r="A522" s="694"/>
      <c r="B522" s="695"/>
      <c r="C522" s="125"/>
      <c r="D522" s="89"/>
      <c r="E522" s="89"/>
      <c r="F522" s="89"/>
      <c r="G522" s="303"/>
      <c r="H522" s="313"/>
      <c r="N522" s="89"/>
      <c r="O522" s="89"/>
    </row>
    <row r="523" spans="1:15" ht="76.5" hidden="1">
      <c r="A523" s="691">
        <v>1</v>
      </c>
      <c r="B523" s="692" t="s">
        <v>694</v>
      </c>
      <c r="C523" s="125"/>
      <c r="D523" s="89"/>
      <c r="E523" s="89"/>
      <c r="F523" s="89"/>
      <c r="G523" s="303"/>
      <c r="H523" s="318"/>
      <c r="N523" s="89"/>
      <c r="O523" s="89"/>
    </row>
    <row r="524" spans="1:15" ht="12.75" hidden="1">
      <c r="A524" s="691"/>
      <c r="B524" s="693" t="s">
        <v>691</v>
      </c>
      <c r="C524" s="86" t="s">
        <v>45</v>
      </c>
      <c r="D524" s="89">
        <v>0</v>
      </c>
      <c r="E524" s="89">
        <f>G524*$I$3</f>
        <v>1440</v>
      </c>
      <c r="F524" s="89">
        <f>D524*E524</f>
        <v>0</v>
      </c>
      <c r="G524" s="319">
        <v>12</v>
      </c>
      <c r="H524" s="318"/>
      <c r="N524" s="89"/>
      <c r="O524" s="89"/>
    </row>
    <row r="525" spans="1:15" ht="12.75" hidden="1">
      <c r="A525" s="691"/>
      <c r="B525" s="693" t="s">
        <v>692</v>
      </c>
      <c r="C525" s="86" t="s">
        <v>45</v>
      </c>
      <c r="D525" s="89">
        <v>0</v>
      </c>
      <c r="E525" s="89">
        <f>G525*$I$3</f>
        <v>1440</v>
      </c>
      <c r="F525" s="89">
        <f>D525*E525</f>
        <v>0</v>
      </c>
      <c r="G525" s="319">
        <v>12</v>
      </c>
      <c r="H525" s="318"/>
      <c r="N525" s="89"/>
      <c r="O525" s="89"/>
    </row>
    <row r="526" spans="1:15" ht="12.75" hidden="1">
      <c r="A526" s="691"/>
      <c r="B526" s="693" t="s">
        <v>693</v>
      </c>
      <c r="C526" s="86" t="s">
        <v>45</v>
      </c>
      <c r="D526" s="89">
        <v>0</v>
      </c>
      <c r="E526" s="89">
        <f>G526*$I$3</f>
        <v>1440</v>
      </c>
      <c r="F526" s="89">
        <f>D526*E526</f>
        <v>0</v>
      </c>
      <c r="G526" s="319">
        <v>12</v>
      </c>
      <c r="H526" s="318"/>
      <c r="N526" s="89"/>
      <c r="O526" s="89"/>
    </row>
    <row r="527" spans="1:15" ht="12.75" hidden="1">
      <c r="A527" s="694"/>
      <c r="B527" s="692"/>
      <c r="C527" s="86"/>
      <c r="D527" s="89"/>
      <c r="E527" s="89"/>
      <c r="F527" s="89"/>
      <c r="G527" s="303"/>
      <c r="H527" s="318"/>
      <c r="N527" s="89"/>
      <c r="O527" s="89"/>
    </row>
    <row r="528" spans="1:15" ht="204">
      <c r="A528" s="696" t="s">
        <v>325</v>
      </c>
      <c r="B528" s="693" t="s">
        <v>695</v>
      </c>
      <c r="C528" s="697"/>
      <c r="D528" s="89"/>
      <c r="E528" s="633"/>
      <c r="F528" s="633"/>
      <c r="G528" s="305"/>
      <c r="N528" s="633"/>
      <c r="O528" s="633"/>
    </row>
    <row r="529" spans="1:15" ht="25.5">
      <c r="A529" s="696"/>
      <c r="B529" s="693" t="s">
        <v>696</v>
      </c>
      <c r="C529" s="698" t="s">
        <v>57</v>
      </c>
      <c r="D529" s="133">
        <f>(1.91+8.35+2)*0.6*1.1+3.4*1.9*2</f>
        <v>21.0116</v>
      </c>
      <c r="E529" s="89"/>
      <c r="F529" s="89">
        <f>D529*E529</f>
        <v>0</v>
      </c>
      <c r="G529" s="319">
        <v>11</v>
      </c>
      <c r="N529" s="633">
        <f>E529*1.2</f>
        <v>0</v>
      </c>
      <c r="O529" s="633">
        <f>N529*D529</f>
        <v>0</v>
      </c>
    </row>
    <row r="530" spans="1:15" ht="25.5">
      <c r="A530" s="696"/>
      <c r="B530" s="693" t="s">
        <v>697</v>
      </c>
      <c r="C530" s="698" t="s">
        <v>57</v>
      </c>
      <c r="D530" s="133">
        <f>(3.02+5.15+3.05+9.55)*0.8*1.6+3*1.32*1.7</f>
        <v>33.3176</v>
      </c>
      <c r="E530" s="89"/>
      <c r="F530" s="89">
        <f>D530*E530</f>
        <v>0</v>
      </c>
      <c r="G530" s="319">
        <v>11</v>
      </c>
      <c r="N530" s="633">
        <f>E530*1.2</f>
        <v>0</v>
      </c>
      <c r="O530" s="633">
        <f>N530*D530</f>
        <v>0</v>
      </c>
    </row>
    <row r="531" spans="1:15" ht="12.75">
      <c r="A531" s="696"/>
      <c r="B531" s="699"/>
      <c r="C531" s="698"/>
      <c r="D531" s="133"/>
      <c r="E531" s="89"/>
      <c r="F531" s="89"/>
      <c r="G531" s="319"/>
      <c r="N531" s="633"/>
      <c r="O531" s="633"/>
    </row>
    <row r="532" spans="1:15" ht="12.75">
      <c r="A532" s="696"/>
      <c r="B532" s="693"/>
      <c r="C532" s="698"/>
      <c r="D532" s="89"/>
      <c r="E532" s="89"/>
      <c r="F532" s="89"/>
      <c r="G532" s="305"/>
      <c r="N532" s="633"/>
      <c r="O532" s="633"/>
    </row>
    <row r="533" spans="1:15" ht="63.75">
      <c r="A533" s="696" t="s">
        <v>541</v>
      </c>
      <c r="B533" s="700" t="s">
        <v>698</v>
      </c>
      <c r="C533" s="697"/>
      <c r="D533" s="89"/>
      <c r="E533" s="633"/>
      <c r="F533" s="633"/>
      <c r="G533" s="305"/>
      <c r="N533" s="633"/>
      <c r="O533" s="633"/>
    </row>
    <row r="534" spans="1:15" ht="25.5">
      <c r="A534" s="696"/>
      <c r="B534" s="693" t="s">
        <v>699</v>
      </c>
      <c r="C534" s="698" t="s">
        <v>45</v>
      </c>
      <c r="D534" s="133">
        <f>(1.91+8.35+2)*0.6+3.4*1.9</f>
        <v>13.815999999999999</v>
      </c>
      <c r="E534" s="89"/>
      <c r="F534" s="89">
        <f>D534*E534</f>
        <v>0</v>
      </c>
      <c r="G534" s="319">
        <v>0.5</v>
      </c>
      <c r="N534" s="633">
        <f>E534*1.2</f>
        <v>0</v>
      </c>
      <c r="O534" s="633">
        <f>N534*D534</f>
        <v>0</v>
      </c>
    </row>
    <row r="535" spans="1:15" ht="25.5">
      <c r="A535" s="696"/>
      <c r="B535" s="693" t="s">
        <v>700</v>
      </c>
      <c r="C535" s="698" t="s">
        <v>45</v>
      </c>
      <c r="D535" s="133">
        <f>(3.02+5.15+3.05+9.55)*0.8+3*1.32</f>
        <v>20.576</v>
      </c>
      <c r="E535" s="89"/>
      <c r="F535" s="89">
        <f>D535*E535</f>
        <v>0</v>
      </c>
      <c r="G535" s="319">
        <v>0.5</v>
      </c>
      <c r="N535" s="633">
        <f>E535*1.2</f>
        <v>0</v>
      </c>
      <c r="O535" s="633">
        <f>N535*D535</f>
        <v>0</v>
      </c>
    </row>
    <row r="536" spans="1:15" ht="12.75">
      <c r="A536" s="696"/>
      <c r="B536" s="699"/>
      <c r="C536" s="698"/>
      <c r="D536" s="84"/>
      <c r="E536" s="84"/>
      <c r="F536" s="84"/>
      <c r="G536" s="305"/>
      <c r="N536" s="633"/>
      <c r="O536" s="633"/>
    </row>
    <row r="537" spans="1:15" ht="127.5">
      <c r="A537" s="696" t="s">
        <v>553</v>
      </c>
      <c r="B537" s="594" t="s">
        <v>701</v>
      </c>
      <c r="C537" s="697"/>
      <c r="D537" s="89"/>
      <c r="E537" s="633"/>
      <c r="F537" s="633"/>
      <c r="G537" s="305"/>
      <c r="N537" s="633"/>
      <c r="O537" s="633"/>
    </row>
    <row r="538" spans="1:15" ht="12.75">
      <c r="A538" s="696"/>
      <c r="B538" s="693" t="s">
        <v>702</v>
      </c>
      <c r="C538" s="698" t="s">
        <v>57</v>
      </c>
      <c r="D538" s="133">
        <f>D534*0.3</f>
        <v>4.144799999999999</v>
      </c>
      <c r="E538" s="89"/>
      <c r="F538" s="89">
        <f>D538*E538</f>
        <v>0</v>
      </c>
      <c r="G538" s="319">
        <v>15</v>
      </c>
      <c r="H538" s="320" t="s">
        <v>703</v>
      </c>
      <c r="N538" s="633">
        <f>E538*1.2</f>
        <v>0</v>
      </c>
      <c r="O538" s="633">
        <f>N538*D538</f>
        <v>0</v>
      </c>
    </row>
    <row r="539" spans="1:15" ht="12.75">
      <c r="A539" s="696"/>
      <c r="B539" s="693" t="s">
        <v>693</v>
      </c>
      <c r="C539" s="698" t="s">
        <v>57</v>
      </c>
      <c r="D539" s="133">
        <f>D535*0.3</f>
        <v>6.1728</v>
      </c>
      <c r="E539" s="89"/>
      <c r="F539" s="89">
        <f>D539*E539</f>
        <v>0</v>
      </c>
      <c r="G539" s="319">
        <v>15</v>
      </c>
      <c r="H539" s="320" t="s">
        <v>703</v>
      </c>
      <c r="N539" s="633">
        <f>E539*1.2</f>
        <v>0</v>
      </c>
      <c r="O539" s="633">
        <f>N539*D539</f>
        <v>0</v>
      </c>
    </row>
    <row r="540" spans="1:15" ht="12.75" hidden="1">
      <c r="A540" s="696"/>
      <c r="B540" s="701"/>
      <c r="C540" s="698"/>
      <c r="D540" s="89"/>
      <c r="E540" s="89"/>
      <c r="F540" s="89"/>
      <c r="G540" s="305"/>
      <c r="N540" s="633"/>
      <c r="O540" s="633"/>
    </row>
    <row r="541" spans="1:15" ht="165.75" hidden="1">
      <c r="A541" s="696" t="s">
        <v>342</v>
      </c>
      <c r="B541" s="693" t="s">
        <v>704</v>
      </c>
      <c r="C541" s="697"/>
      <c r="D541" s="89"/>
      <c r="E541" s="633"/>
      <c r="F541" s="633"/>
      <c r="G541" s="305"/>
      <c r="N541" s="633"/>
      <c r="O541" s="633"/>
    </row>
    <row r="542" spans="1:15" ht="12.75" hidden="1">
      <c r="A542" s="696"/>
      <c r="B542" s="693" t="s">
        <v>691</v>
      </c>
      <c r="C542" s="698" t="s">
        <v>57</v>
      </c>
      <c r="D542" s="89">
        <v>0</v>
      </c>
      <c r="E542" s="89"/>
      <c r="F542" s="89">
        <f>D542*E542</f>
        <v>0</v>
      </c>
      <c r="G542" s="319">
        <v>15</v>
      </c>
      <c r="N542" s="633"/>
      <c r="O542" s="633"/>
    </row>
    <row r="543" spans="1:15" ht="12.75" hidden="1">
      <c r="A543" s="696"/>
      <c r="B543" s="693" t="s">
        <v>692</v>
      </c>
      <c r="C543" s="698" t="s">
        <v>57</v>
      </c>
      <c r="D543" s="89">
        <v>0</v>
      </c>
      <c r="E543" s="89"/>
      <c r="F543" s="89">
        <f>D543*E543</f>
        <v>0</v>
      </c>
      <c r="G543" s="319">
        <v>15</v>
      </c>
      <c r="N543" s="633"/>
      <c r="O543" s="633"/>
    </row>
    <row r="544" spans="1:15" ht="12.75" hidden="1">
      <c r="A544" s="696"/>
      <c r="B544" s="693" t="s">
        <v>693</v>
      </c>
      <c r="C544" s="698" t="s">
        <v>57</v>
      </c>
      <c r="D544" s="89">
        <v>0</v>
      </c>
      <c r="E544" s="89"/>
      <c r="F544" s="89">
        <f>D544*E544</f>
        <v>0</v>
      </c>
      <c r="G544" s="319">
        <v>15</v>
      </c>
      <c r="N544" s="633"/>
      <c r="O544" s="633"/>
    </row>
    <row r="545" spans="1:15" ht="12.75">
      <c r="A545" s="696"/>
      <c r="B545" s="700"/>
      <c r="C545" s="698"/>
      <c r="D545" s="89"/>
      <c r="E545" s="89"/>
      <c r="F545" s="89"/>
      <c r="G545" s="305"/>
      <c r="N545" s="633"/>
      <c r="O545" s="633"/>
    </row>
    <row r="546" spans="1:15" ht="178.5">
      <c r="A546" s="696" t="s">
        <v>556</v>
      </c>
      <c r="B546" s="693" t="s">
        <v>705</v>
      </c>
      <c r="C546" s="697"/>
      <c r="D546" s="89"/>
      <c r="E546" s="633"/>
      <c r="F546" s="633"/>
      <c r="G546" s="305"/>
      <c r="N546" s="633"/>
      <c r="O546" s="633"/>
    </row>
    <row r="547" spans="1:15" ht="12.75">
      <c r="A547" s="696"/>
      <c r="B547" s="693" t="s">
        <v>702</v>
      </c>
      <c r="C547" s="698" t="s">
        <v>57</v>
      </c>
      <c r="D547" s="89">
        <f>D529-D538</f>
        <v>16.8668</v>
      </c>
      <c r="E547" s="89"/>
      <c r="F547" s="89">
        <f>D547*E547</f>
        <v>0</v>
      </c>
      <c r="G547" s="319">
        <v>2.5</v>
      </c>
      <c r="H547" s="320" t="s">
        <v>703</v>
      </c>
      <c r="N547" s="633">
        <f>E547*1.2</f>
        <v>0</v>
      </c>
      <c r="O547" s="633">
        <f>N547*D547</f>
        <v>0</v>
      </c>
    </row>
    <row r="548" spans="1:15" ht="12.75">
      <c r="A548" s="696"/>
      <c r="B548" s="693" t="s">
        <v>693</v>
      </c>
      <c r="C548" s="698" t="s">
        <v>57</v>
      </c>
      <c r="D548" s="89">
        <f>D530-D539</f>
        <v>27.1448</v>
      </c>
      <c r="E548" s="89"/>
      <c r="F548" s="89">
        <f>D548*E548</f>
        <v>0</v>
      </c>
      <c r="G548" s="319">
        <v>2.5</v>
      </c>
      <c r="H548" s="320" t="s">
        <v>703</v>
      </c>
      <c r="N548" s="633">
        <f>E548*1.2</f>
        <v>0</v>
      </c>
      <c r="O548" s="633">
        <f>N548*D548</f>
        <v>0</v>
      </c>
    </row>
    <row r="549" spans="1:15" ht="12.75">
      <c r="A549" s="696"/>
      <c r="B549" s="693"/>
      <c r="C549" s="698"/>
      <c r="D549" s="89"/>
      <c r="E549" s="89"/>
      <c r="F549" s="89"/>
      <c r="G549" s="305"/>
      <c r="N549" s="633"/>
      <c r="O549" s="633"/>
    </row>
    <row r="550" spans="1:15" ht="38.25">
      <c r="A550" s="696" t="s">
        <v>339</v>
      </c>
      <c r="B550" s="700" t="s">
        <v>706</v>
      </c>
      <c r="C550" s="697"/>
      <c r="D550" s="89"/>
      <c r="E550" s="633"/>
      <c r="F550" s="633"/>
      <c r="G550" s="305"/>
      <c r="N550" s="633"/>
      <c r="O550" s="633"/>
    </row>
    <row r="551" spans="1:15" ht="12.75">
      <c r="A551" s="696"/>
      <c r="B551" s="693" t="s">
        <v>702</v>
      </c>
      <c r="C551" s="698" t="s">
        <v>57</v>
      </c>
      <c r="D551" s="89">
        <f>(D529-D547)*1.25</f>
        <v>5.181</v>
      </c>
      <c r="E551" s="89"/>
      <c r="F551" s="89">
        <f>D551*E551</f>
        <v>0</v>
      </c>
      <c r="G551" s="319">
        <v>3.5</v>
      </c>
      <c r="H551" s="320" t="s">
        <v>703</v>
      </c>
      <c r="N551" s="633">
        <f>E551*1.2</f>
        <v>0</v>
      </c>
      <c r="O551" s="633">
        <f>N551*D551</f>
        <v>0</v>
      </c>
    </row>
    <row r="552" spans="1:15" ht="12.75">
      <c r="A552" s="696"/>
      <c r="B552" s="693" t="s">
        <v>693</v>
      </c>
      <c r="C552" s="698" t="s">
        <v>57</v>
      </c>
      <c r="D552" s="89">
        <f>(D530-D548)*1.25</f>
        <v>7.715999999999998</v>
      </c>
      <c r="E552" s="89"/>
      <c r="F552" s="89">
        <f>D552*E552</f>
        <v>0</v>
      </c>
      <c r="G552" s="319">
        <v>3.5</v>
      </c>
      <c r="H552" s="320" t="s">
        <v>703</v>
      </c>
      <c r="N552" s="633">
        <f>E552*1.2</f>
        <v>0</v>
      </c>
      <c r="O552" s="633">
        <f>N552*D552</f>
        <v>0</v>
      </c>
    </row>
    <row r="553" spans="1:15" ht="12.75" hidden="1">
      <c r="A553" s="696"/>
      <c r="B553" s="700"/>
      <c r="C553" s="698"/>
      <c r="D553" s="89"/>
      <c r="E553" s="89"/>
      <c r="F553" s="89"/>
      <c r="G553" s="305"/>
      <c r="N553" s="633"/>
      <c r="O553" s="633"/>
    </row>
    <row r="554" spans="1:15" ht="76.5" hidden="1">
      <c r="A554" s="702">
        <v>6</v>
      </c>
      <c r="B554" s="594" t="s">
        <v>707</v>
      </c>
      <c r="C554" s="86"/>
      <c r="D554" s="89"/>
      <c r="E554" s="89"/>
      <c r="F554" s="89"/>
      <c r="G554" s="305"/>
      <c r="N554" s="633"/>
      <c r="O554" s="633"/>
    </row>
    <row r="555" spans="1:15" ht="12.75" hidden="1">
      <c r="A555" s="702"/>
      <c r="B555" s="125" t="s">
        <v>708</v>
      </c>
      <c r="C555" s="698" t="s">
        <v>350</v>
      </c>
      <c r="D555" s="89">
        <v>0</v>
      </c>
      <c r="E555" s="89"/>
      <c r="F555" s="89">
        <f>D555*E555</f>
        <v>0</v>
      </c>
      <c r="G555" s="305"/>
      <c r="N555" s="633"/>
      <c r="O555" s="633"/>
    </row>
    <row r="556" spans="1:15" ht="12.75" hidden="1">
      <c r="A556" s="702"/>
      <c r="B556" s="125" t="s">
        <v>709</v>
      </c>
      <c r="C556" s="86" t="s">
        <v>350</v>
      </c>
      <c r="D556" s="89">
        <v>0</v>
      </c>
      <c r="E556" s="89"/>
      <c r="F556" s="89">
        <f>D556*E556</f>
        <v>0</v>
      </c>
      <c r="G556" s="305"/>
      <c r="N556" s="633"/>
      <c r="O556" s="633"/>
    </row>
    <row r="557" spans="1:15" ht="12.75" hidden="1">
      <c r="A557" s="702"/>
      <c r="B557" s="125" t="s">
        <v>710</v>
      </c>
      <c r="C557" s="86" t="s">
        <v>350</v>
      </c>
      <c r="D557" s="89">
        <v>0</v>
      </c>
      <c r="E557" s="89"/>
      <c r="F557" s="89">
        <f>D557*E557</f>
        <v>0</v>
      </c>
      <c r="G557" s="305"/>
      <c r="N557" s="633"/>
      <c r="O557" s="633"/>
    </row>
    <row r="558" spans="1:15" ht="12.75">
      <c r="A558" s="696"/>
      <c r="B558" s="700"/>
      <c r="C558" s="698"/>
      <c r="D558" s="89"/>
      <c r="E558" s="89"/>
      <c r="F558" s="89"/>
      <c r="G558" s="305"/>
      <c r="N558" s="633"/>
      <c r="O558" s="633"/>
    </row>
    <row r="559" spans="1:15" ht="127.5">
      <c r="A559" s="703">
        <v>6</v>
      </c>
      <c r="B559" s="704" t="s">
        <v>711</v>
      </c>
      <c r="C559" s="705"/>
      <c r="D559" s="89"/>
      <c r="E559" s="633"/>
      <c r="F559" s="89"/>
      <c r="G559" s="305"/>
      <c r="N559" s="633"/>
      <c r="O559" s="633"/>
    </row>
    <row r="560" spans="1:15" ht="12.75" hidden="1">
      <c r="A560" s="703"/>
      <c r="B560" s="706" t="s">
        <v>712</v>
      </c>
      <c r="C560" s="705" t="s">
        <v>47</v>
      </c>
      <c r="D560" s="89">
        <v>0</v>
      </c>
      <c r="E560" s="633"/>
      <c r="F560" s="89">
        <f>D560*E560</f>
        <v>0</v>
      </c>
      <c r="G560" s="305"/>
      <c r="N560" s="633"/>
      <c r="O560" s="633"/>
    </row>
    <row r="561" spans="1:15" ht="12.75" hidden="1">
      <c r="A561" s="703"/>
      <c r="B561" s="706" t="s">
        <v>713</v>
      </c>
      <c r="C561" s="705" t="s">
        <v>47</v>
      </c>
      <c r="D561" s="89">
        <v>0</v>
      </c>
      <c r="E561" s="633"/>
      <c r="F561" s="89">
        <f>D561*E561</f>
        <v>0</v>
      </c>
      <c r="G561" s="305"/>
      <c r="N561" s="633"/>
      <c r="O561" s="633"/>
    </row>
    <row r="562" spans="1:15" ht="12.75">
      <c r="A562" s="703"/>
      <c r="B562" s="706" t="s">
        <v>714</v>
      </c>
      <c r="C562" s="707" t="s">
        <v>47</v>
      </c>
      <c r="D562" s="89">
        <v>1</v>
      </c>
      <c r="E562" s="89"/>
      <c r="F562" s="708">
        <f>D562*E562</f>
        <v>0</v>
      </c>
      <c r="G562" s="305">
        <v>900</v>
      </c>
      <c r="N562" s="633">
        <f>E562*1.2</f>
        <v>0</v>
      </c>
      <c r="O562" s="633">
        <f>N562*D562</f>
        <v>0</v>
      </c>
    </row>
    <row r="563" spans="1:15" ht="12.75" hidden="1">
      <c r="A563" s="703"/>
      <c r="B563" s="709"/>
      <c r="C563" s="705"/>
      <c r="D563" s="89"/>
      <c r="E563" s="633"/>
      <c r="F563" s="89"/>
      <c r="G563" s="305"/>
      <c r="N563" s="633"/>
      <c r="O563" s="633"/>
    </row>
    <row r="564" spans="1:15" ht="76.5" hidden="1">
      <c r="A564" s="710" t="s">
        <v>368</v>
      </c>
      <c r="B564" s="711" t="s">
        <v>715</v>
      </c>
      <c r="C564" s="712" t="s">
        <v>179</v>
      </c>
      <c r="D564" s="632"/>
      <c r="E564" s="632"/>
      <c r="F564" s="632" t="s">
        <v>179</v>
      </c>
      <c r="G564" s="305"/>
      <c r="N564" s="633"/>
      <c r="O564" s="633"/>
    </row>
    <row r="565" spans="1:15" ht="12.75" hidden="1">
      <c r="A565" s="710"/>
      <c r="B565" s="713" t="s">
        <v>716</v>
      </c>
      <c r="C565" s="712" t="s">
        <v>47</v>
      </c>
      <c r="D565" s="632">
        <v>0</v>
      </c>
      <c r="E565" s="89"/>
      <c r="F565" s="632">
        <f>D565*E565</f>
        <v>0</v>
      </c>
      <c r="G565" s="305">
        <v>225</v>
      </c>
      <c r="N565" s="633"/>
      <c r="O565" s="633"/>
    </row>
    <row r="566" spans="1:15" ht="12.75">
      <c r="A566" s="710"/>
      <c r="B566" s="713"/>
      <c r="C566" s="712"/>
      <c r="D566" s="632"/>
      <c r="E566" s="632"/>
      <c r="F566" s="632"/>
      <c r="G566" s="305"/>
      <c r="N566" s="633"/>
      <c r="O566" s="633"/>
    </row>
    <row r="567" spans="1:15" ht="89.25">
      <c r="A567" s="691">
        <v>7</v>
      </c>
      <c r="B567" s="714" t="s">
        <v>717</v>
      </c>
      <c r="C567" s="86" t="s">
        <v>57</v>
      </c>
      <c r="D567" s="89">
        <v>3</v>
      </c>
      <c r="E567" s="89"/>
      <c r="F567" s="89">
        <f>D567*E567</f>
        <v>0</v>
      </c>
      <c r="G567" s="311">
        <v>30</v>
      </c>
      <c r="H567" s="313"/>
      <c r="N567" s="633">
        <f>E567*1.2</f>
        <v>0</v>
      </c>
      <c r="O567" s="633">
        <f>N567*D567</f>
        <v>0</v>
      </c>
    </row>
    <row r="568" spans="1:15" ht="12.75">
      <c r="A568" s="694"/>
      <c r="B568" s="125"/>
      <c r="C568" s="86"/>
      <c r="D568" s="89"/>
      <c r="E568" s="89"/>
      <c r="F568" s="89"/>
      <c r="G568" s="303"/>
      <c r="H568" s="313"/>
      <c r="N568" s="89"/>
      <c r="O568" s="89"/>
    </row>
    <row r="569" spans="1:15" ht="114" customHeight="1">
      <c r="A569" s="696" t="s">
        <v>380</v>
      </c>
      <c r="B569" s="693" t="s">
        <v>718</v>
      </c>
      <c r="C569" s="697"/>
      <c r="D569" s="89"/>
      <c r="E569" s="633"/>
      <c r="F569" s="633"/>
      <c r="G569" s="305"/>
      <c r="N569" s="633"/>
      <c r="O569" s="633"/>
    </row>
    <row r="570" spans="1:15" ht="12.75">
      <c r="A570" s="696"/>
      <c r="B570" s="693" t="s">
        <v>719</v>
      </c>
      <c r="C570" s="698" t="s">
        <v>350</v>
      </c>
      <c r="D570" s="89">
        <f>5</f>
        <v>5</v>
      </c>
      <c r="E570" s="89"/>
      <c r="F570" s="89">
        <f>D570*E570</f>
        <v>0</v>
      </c>
      <c r="G570" s="319">
        <v>90</v>
      </c>
      <c r="N570" s="633">
        <f>E570*1.2</f>
        <v>0</v>
      </c>
      <c r="O570" s="633">
        <f>N570*D570</f>
        <v>0</v>
      </c>
    </row>
    <row r="571" spans="1:15" ht="12.75" hidden="1">
      <c r="A571" s="696"/>
      <c r="B571" s="693"/>
      <c r="C571" s="698"/>
      <c r="D571" s="89"/>
      <c r="E571" s="89"/>
      <c r="F571" s="89"/>
      <c r="G571" s="305"/>
      <c r="N571" s="633"/>
      <c r="O571" s="633"/>
    </row>
    <row r="572" spans="1:15" ht="204" hidden="1">
      <c r="A572" s="710" t="s">
        <v>394</v>
      </c>
      <c r="B572" s="715" t="s">
        <v>720</v>
      </c>
      <c r="C572" s="712"/>
      <c r="D572" s="632"/>
      <c r="E572" s="632"/>
      <c r="F572" s="632"/>
      <c r="G572" s="305"/>
      <c r="N572" s="633"/>
      <c r="O572" s="633"/>
    </row>
    <row r="573" spans="1:15" ht="12.75" hidden="1">
      <c r="A573" s="710"/>
      <c r="B573" s="713" t="s">
        <v>721</v>
      </c>
      <c r="C573" s="712" t="s">
        <v>47</v>
      </c>
      <c r="D573" s="632">
        <v>0</v>
      </c>
      <c r="E573" s="632"/>
      <c r="F573" s="632">
        <f>D573*E573</f>
        <v>0</v>
      </c>
      <c r="G573" s="305">
        <v>135</v>
      </c>
      <c r="N573" s="633"/>
      <c r="O573" s="633"/>
    </row>
    <row r="574" spans="1:15" ht="12.75">
      <c r="A574" s="710"/>
      <c r="B574" s="713"/>
      <c r="C574" s="712"/>
      <c r="D574" s="632"/>
      <c r="E574" s="632"/>
      <c r="F574" s="632"/>
      <c r="G574" s="305"/>
      <c r="N574" s="633"/>
      <c r="O574" s="633"/>
    </row>
    <row r="575" spans="1:15" ht="191.25">
      <c r="A575" s="710" t="s">
        <v>405</v>
      </c>
      <c r="B575" s="715" t="s">
        <v>722</v>
      </c>
      <c r="C575" s="712"/>
      <c r="D575" s="632"/>
      <c r="E575" s="632"/>
      <c r="F575" s="632"/>
      <c r="G575" s="305"/>
      <c r="N575" s="633"/>
      <c r="O575" s="633"/>
    </row>
    <row r="576" spans="1:15" ht="12.75">
      <c r="A576" s="710"/>
      <c r="B576" s="713" t="s">
        <v>723</v>
      </c>
      <c r="C576" s="712" t="s">
        <v>47</v>
      </c>
      <c r="D576" s="632">
        <v>1</v>
      </c>
      <c r="E576" s="632"/>
      <c r="F576" s="632">
        <f>D576*E576</f>
        <v>0</v>
      </c>
      <c r="G576" s="305">
        <v>90</v>
      </c>
      <c r="N576" s="633">
        <f>E576*1.2</f>
        <v>0</v>
      </c>
      <c r="O576" s="633">
        <f>N576*D576</f>
        <v>0</v>
      </c>
    </row>
    <row r="577" spans="1:15" ht="12.75">
      <c r="A577" s="710"/>
      <c r="B577" s="713" t="s">
        <v>724</v>
      </c>
      <c r="C577" s="712" t="s">
        <v>47</v>
      </c>
      <c r="D577" s="632">
        <v>3</v>
      </c>
      <c r="E577" s="632"/>
      <c r="F577" s="632">
        <f>D577*E577</f>
        <v>0</v>
      </c>
      <c r="G577" s="305">
        <v>90</v>
      </c>
      <c r="N577" s="633">
        <f>E577*1.2</f>
        <v>0</v>
      </c>
      <c r="O577" s="633">
        <f>N577*D577</f>
        <v>0</v>
      </c>
    </row>
    <row r="578" spans="1:15" ht="12.75">
      <c r="A578" s="710"/>
      <c r="B578" s="713"/>
      <c r="C578" s="712"/>
      <c r="D578" s="632"/>
      <c r="E578" s="632"/>
      <c r="F578" s="632"/>
      <c r="G578" s="305"/>
      <c r="N578" s="633"/>
      <c r="O578" s="633"/>
    </row>
    <row r="579" spans="1:15" ht="204" hidden="1">
      <c r="A579" s="710" t="s">
        <v>394</v>
      </c>
      <c r="B579" s="716" t="s">
        <v>725</v>
      </c>
      <c r="C579" s="712" t="s">
        <v>47</v>
      </c>
      <c r="D579" s="632">
        <v>0</v>
      </c>
      <c r="E579" s="632"/>
      <c r="F579" s="632">
        <f>D579*E579</f>
        <v>0</v>
      </c>
      <c r="G579" s="305">
        <v>1100</v>
      </c>
      <c r="N579" s="633"/>
      <c r="O579" s="633"/>
    </row>
    <row r="580" spans="1:15" ht="12.75" hidden="1">
      <c r="A580" s="710"/>
      <c r="B580" s="713"/>
      <c r="C580" s="712"/>
      <c r="D580" s="632"/>
      <c r="E580" s="632"/>
      <c r="F580" s="632"/>
      <c r="G580" s="305"/>
      <c r="N580" s="633"/>
      <c r="O580" s="633"/>
    </row>
    <row r="581" spans="1:15" ht="127.5" hidden="1">
      <c r="A581" s="710" t="s">
        <v>411</v>
      </c>
      <c r="B581" s="711" t="s">
        <v>726</v>
      </c>
      <c r="C581" s="698" t="s">
        <v>47</v>
      </c>
      <c r="D581" s="89">
        <v>0</v>
      </c>
      <c r="E581" s="89"/>
      <c r="F581" s="89">
        <f>D581*E581</f>
        <v>0</v>
      </c>
      <c r="G581" s="305"/>
      <c r="N581" s="633"/>
      <c r="O581" s="633"/>
    </row>
    <row r="582" spans="1:15" ht="12.75" hidden="1">
      <c r="A582" s="710"/>
      <c r="B582" s="711"/>
      <c r="C582" s="698"/>
      <c r="D582" s="89"/>
      <c r="E582" s="89"/>
      <c r="F582" s="89"/>
      <c r="G582" s="305"/>
      <c r="N582" s="633"/>
      <c r="O582" s="633"/>
    </row>
    <row r="583" spans="1:15" ht="153" hidden="1">
      <c r="A583" s="710" t="s">
        <v>411</v>
      </c>
      <c r="B583" s="711" t="s">
        <v>727</v>
      </c>
      <c r="C583" s="698" t="s">
        <v>47</v>
      </c>
      <c r="D583" s="89">
        <v>0</v>
      </c>
      <c r="E583" s="89"/>
      <c r="F583" s="89">
        <f>D583*E583</f>
        <v>0</v>
      </c>
      <c r="G583" s="305"/>
      <c r="N583" s="633"/>
      <c r="O583" s="633"/>
    </row>
    <row r="584" spans="1:15" ht="12.75" hidden="1">
      <c r="A584" s="710"/>
      <c r="B584" s="711"/>
      <c r="C584" s="698"/>
      <c r="D584" s="89"/>
      <c r="E584" s="89"/>
      <c r="F584" s="89"/>
      <c r="G584" s="305"/>
      <c r="N584" s="633"/>
      <c r="O584" s="633"/>
    </row>
    <row r="585" spans="1:15" ht="267.75" hidden="1">
      <c r="A585" s="710" t="s">
        <v>344</v>
      </c>
      <c r="B585" s="717" t="s">
        <v>728</v>
      </c>
      <c r="C585" s="712" t="s">
        <v>47</v>
      </c>
      <c r="D585" s="632">
        <v>0</v>
      </c>
      <c r="E585" s="632"/>
      <c r="F585" s="632">
        <f>D585*E585</f>
        <v>0</v>
      </c>
      <c r="G585" s="305">
        <v>4500</v>
      </c>
      <c r="N585" s="633"/>
      <c r="O585" s="633"/>
    </row>
    <row r="586" spans="1:15" ht="12.75" hidden="1">
      <c r="A586" s="710"/>
      <c r="B586" s="711"/>
      <c r="C586" s="698"/>
      <c r="D586" s="89"/>
      <c r="E586" s="89"/>
      <c r="F586" s="89"/>
      <c r="G586" s="305"/>
      <c r="N586" s="633"/>
      <c r="O586" s="633"/>
    </row>
    <row r="587" spans="1:15" ht="63.75">
      <c r="A587" s="710" t="s">
        <v>394</v>
      </c>
      <c r="B587" s="715" t="s">
        <v>729</v>
      </c>
      <c r="C587" s="712" t="s">
        <v>47</v>
      </c>
      <c r="D587" s="632">
        <v>1</v>
      </c>
      <c r="E587" s="632"/>
      <c r="F587" s="632">
        <f>D587*E587</f>
        <v>0</v>
      </c>
      <c r="G587" s="305">
        <v>110</v>
      </c>
      <c r="N587" s="633">
        <f>E587*1.2</f>
        <v>0</v>
      </c>
      <c r="O587" s="633">
        <f>N587*D587</f>
        <v>0</v>
      </c>
    </row>
    <row r="588" spans="1:15" ht="12.75">
      <c r="A588" s="710"/>
      <c r="B588" s="711"/>
      <c r="C588" s="698"/>
      <c r="D588" s="89"/>
      <c r="E588" s="89"/>
      <c r="F588" s="89"/>
      <c r="G588" s="305"/>
      <c r="N588" s="633"/>
      <c r="O588" s="633"/>
    </row>
    <row r="589" spans="1:15" s="317" customFormat="1" ht="153">
      <c r="A589" s="718">
        <v>11</v>
      </c>
      <c r="B589" s="709" t="s">
        <v>730</v>
      </c>
      <c r="C589" s="719" t="s">
        <v>47</v>
      </c>
      <c r="D589" s="89">
        <v>1</v>
      </c>
      <c r="E589" s="633"/>
      <c r="F589" s="633">
        <f>D589*E589</f>
        <v>0</v>
      </c>
      <c r="G589" s="310"/>
      <c r="H589" s="294"/>
      <c r="I589" s="294"/>
      <c r="J589" s="294"/>
      <c r="K589" s="294"/>
      <c r="L589" s="294"/>
      <c r="N589" s="633">
        <f>E589*1.2</f>
        <v>0</v>
      </c>
      <c r="O589" s="633">
        <f>N589*D589</f>
        <v>0</v>
      </c>
    </row>
    <row r="590" spans="1:15" ht="12.75">
      <c r="A590" s="702"/>
      <c r="B590" s="125"/>
      <c r="C590" s="698"/>
      <c r="D590" s="89"/>
      <c r="E590" s="89"/>
      <c r="F590" s="89"/>
      <c r="G590" s="305"/>
      <c r="N590" s="633"/>
      <c r="O590" s="633"/>
    </row>
    <row r="591" spans="1:15" ht="15.75">
      <c r="A591" s="728" t="s">
        <v>687</v>
      </c>
      <c r="B591" s="729" t="s">
        <v>731</v>
      </c>
      <c r="C591" s="730"/>
      <c r="D591" s="731"/>
      <c r="E591" s="732"/>
      <c r="F591" s="733">
        <f>SUM(F517:F590)</f>
        <v>0</v>
      </c>
      <c r="G591" s="725"/>
      <c r="H591" s="726"/>
      <c r="I591" s="726"/>
      <c r="J591" s="726"/>
      <c r="K591" s="726"/>
      <c r="L591" s="726"/>
      <c r="M591" s="726"/>
      <c r="N591" s="727"/>
      <c r="O591" s="733">
        <f>SUM(O517:O590)</f>
        <v>0</v>
      </c>
    </row>
    <row r="592" spans="1:15" ht="12.75">
      <c r="A592" s="289"/>
      <c r="B592" s="290"/>
      <c r="C592" s="290"/>
      <c r="D592" s="288"/>
      <c r="E592" s="290"/>
      <c r="F592" s="291"/>
      <c r="G592" s="292"/>
      <c r="N592" s="734"/>
      <c r="O592" s="734"/>
    </row>
    <row r="593" spans="1:15" ht="12.75">
      <c r="A593" s="736" t="s">
        <v>732</v>
      </c>
      <c r="B593" s="737" t="s">
        <v>324</v>
      </c>
      <c r="C593" s="738"/>
      <c r="D593" s="739"/>
      <c r="E593" s="739"/>
      <c r="F593" s="739"/>
      <c r="G593" s="740"/>
      <c r="H593" s="741"/>
      <c r="I593" s="741"/>
      <c r="J593" s="741"/>
      <c r="K593" s="741"/>
      <c r="L593" s="741"/>
      <c r="M593" s="741"/>
      <c r="N593" s="742"/>
      <c r="O593" s="742"/>
    </row>
    <row r="594" spans="1:15" ht="12.75">
      <c r="A594" s="743"/>
      <c r="B594" s="744"/>
      <c r="C594" s="712"/>
      <c r="D594" s="632"/>
      <c r="E594" s="632"/>
      <c r="F594" s="632"/>
      <c r="G594" s="292"/>
      <c r="N594" s="735"/>
      <c r="O594" s="735"/>
    </row>
    <row r="595" spans="1:15" ht="51">
      <c r="A595" s="745" t="s">
        <v>325</v>
      </c>
      <c r="B595" s="594" t="s">
        <v>326</v>
      </c>
      <c r="C595" s="698"/>
      <c r="D595" s="89"/>
      <c r="E595" s="89"/>
      <c r="F595" s="89" t="s">
        <v>179</v>
      </c>
      <c r="G595" s="292"/>
      <c r="N595" s="633"/>
      <c r="O595" s="633"/>
    </row>
    <row r="596" spans="1:15" ht="12.75" hidden="1">
      <c r="A596" s="745"/>
      <c r="B596" s="125" t="s">
        <v>327</v>
      </c>
      <c r="C596" s="698" t="s">
        <v>47</v>
      </c>
      <c r="D596" s="746">
        <v>0</v>
      </c>
      <c r="E596" s="89"/>
      <c r="F596" s="89">
        <f>D596*E596</f>
        <v>0</v>
      </c>
      <c r="G596" s="292"/>
      <c r="N596" s="633"/>
      <c r="O596" s="633"/>
    </row>
    <row r="597" spans="1:15" ht="12.75">
      <c r="A597" s="745"/>
      <c r="B597" s="125" t="s">
        <v>328</v>
      </c>
      <c r="C597" s="698" t="s">
        <v>47</v>
      </c>
      <c r="D597" s="746">
        <v>1</v>
      </c>
      <c r="E597" s="89"/>
      <c r="F597" s="89">
        <f>D597*E597</f>
        <v>0</v>
      </c>
      <c r="G597" s="292">
        <v>120</v>
      </c>
      <c r="N597" s="633">
        <f>E597*1.2</f>
        <v>0</v>
      </c>
      <c r="O597" s="633">
        <f>N597*D597</f>
        <v>0</v>
      </c>
    </row>
    <row r="598" spans="1:15" ht="12.75">
      <c r="A598" s="745"/>
      <c r="B598" s="125"/>
      <c r="C598" s="698"/>
      <c r="D598" s="89"/>
      <c r="E598" s="89"/>
      <c r="F598" s="89"/>
      <c r="G598" s="292"/>
      <c r="N598" s="633"/>
      <c r="O598" s="633"/>
    </row>
    <row r="599" spans="1:15" ht="25.5" hidden="1">
      <c r="A599" s="747">
        <v>2</v>
      </c>
      <c r="B599" s="709" t="s">
        <v>329</v>
      </c>
      <c r="C599" s="698"/>
      <c r="D599" s="89"/>
      <c r="E599" s="89"/>
      <c r="F599" s="89"/>
      <c r="G599" s="292"/>
      <c r="N599" s="633"/>
      <c r="O599" s="633"/>
    </row>
    <row r="600" spans="1:15" ht="12.75" hidden="1">
      <c r="A600" s="747"/>
      <c r="B600" s="748" t="s">
        <v>330</v>
      </c>
      <c r="C600" s="698" t="s">
        <v>47</v>
      </c>
      <c r="D600" s="746">
        <v>0</v>
      </c>
      <c r="E600" s="89"/>
      <c r="F600" s="89">
        <f>D600*E600</f>
        <v>0</v>
      </c>
      <c r="G600" s="292">
        <v>170</v>
      </c>
      <c r="N600" s="633"/>
      <c r="O600" s="633"/>
    </row>
    <row r="601" spans="1:15" ht="12.75" hidden="1">
      <c r="A601" s="747"/>
      <c r="B601" s="748" t="s">
        <v>331</v>
      </c>
      <c r="C601" s="698" t="s">
        <v>47</v>
      </c>
      <c r="D601" s="746">
        <v>0</v>
      </c>
      <c r="E601" s="89"/>
      <c r="F601" s="89">
        <f>D601*E601</f>
        <v>0</v>
      </c>
      <c r="G601" s="292">
        <v>180</v>
      </c>
      <c r="N601" s="633"/>
      <c r="O601" s="633"/>
    </row>
    <row r="602" spans="1:15" ht="12.75" hidden="1">
      <c r="A602" s="747"/>
      <c r="B602" s="748" t="s">
        <v>332</v>
      </c>
      <c r="C602" s="698" t="s">
        <v>47</v>
      </c>
      <c r="D602" s="746">
        <v>0</v>
      </c>
      <c r="E602" s="89"/>
      <c r="F602" s="89">
        <f>D602*E602</f>
        <v>0</v>
      </c>
      <c r="G602" s="292">
        <v>235</v>
      </c>
      <c r="N602" s="633"/>
      <c r="O602" s="633"/>
    </row>
    <row r="603" spans="1:15" ht="12.75" hidden="1">
      <c r="A603" s="747"/>
      <c r="B603" s="748" t="s">
        <v>333</v>
      </c>
      <c r="C603" s="698" t="s">
        <v>47</v>
      </c>
      <c r="D603" s="746">
        <v>0</v>
      </c>
      <c r="E603" s="89"/>
      <c r="F603" s="89">
        <f>D603*E603</f>
        <v>0</v>
      </c>
      <c r="G603" s="292">
        <v>260</v>
      </c>
      <c r="N603" s="633"/>
      <c r="O603" s="633"/>
    </row>
    <row r="604" spans="1:15" ht="12.75" hidden="1">
      <c r="A604" s="747"/>
      <c r="B604" s="748" t="s">
        <v>333</v>
      </c>
      <c r="C604" s="698" t="s">
        <v>47</v>
      </c>
      <c r="D604" s="746">
        <v>0</v>
      </c>
      <c r="E604" s="89"/>
      <c r="F604" s="89">
        <f>D604*E604</f>
        <v>0</v>
      </c>
      <c r="G604" s="292">
        <v>320</v>
      </c>
      <c r="N604" s="633"/>
      <c r="O604" s="633"/>
    </row>
    <row r="605" spans="1:15" ht="12.75" hidden="1">
      <c r="A605" s="745"/>
      <c r="B605" s="125"/>
      <c r="C605" s="698"/>
      <c r="D605" s="89"/>
      <c r="E605" s="89"/>
      <c r="F605" s="89"/>
      <c r="G605" s="292"/>
      <c r="N605" s="633"/>
      <c r="O605" s="633"/>
    </row>
    <row r="606" spans="1:15" ht="38.25">
      <c r="A606" s="747">
        <v>2</v>
      </c>
      <c r="B606" s="709" t="s">
        <v>334</v>
      </c>
      <c r="C606" s="705"/>
      <c r="D606" s="89"/>
      <c r="E606" s="633"/>
      <c r="F606" s="633"/>
      <c r="G606" s="292"/>
      <c r="N606" s="633"/>
      <c r="O606" s="633"/>
    </row>
    <row r="607" spans="1:15" ht="12.75" hidden="1">
      <c r="A607" s="747"/>
      <c r="B607" s="748" t="s">
        <v>335</v>
      </c>
      <c r="C607" s="705" t="s">
        <v>47</v>
      </c>
      <c r="D607" s="746">
        <v>0</v>
      </c>
      <c r="E607" s="89"/>
      <c r="F607" s="633">
        <f>D607*E607</f>
        <v>0</v>
      </c>
      <c r="G607" s="292">
        <v>260</v>
      </c>
      <c r="N607" s="633"/>
      <c r="O607" s="633"/>
    </row>
    <row r="608" spans="1:15" ht="12.75">
      <c r="A608" s="747"/>
      <c r="B608" s="748" t="s">
        <v>335</v>
      </c>
      <c r="C608" s="705" t="s">
        <v>47</v>
      </c>
      <c r="D608" s="746">
        <v>1</v>
      </c>
      <c r="E608" s="89"/>
      <c r="F608" s="633">
        <f>D608*E608</f>
        <v>0</v>
      </c>
      <c r="G608" s="292">
        <v>240</v>
      </c>
      <c r="N608" s="633">
        <f>E608*1.2</f>
        <v>0</v>
      </c>
      <c r="O608" s="633">
        <f>N608*D608</f>
        <v>0</v>
      </c>
    </row>
    <row r="609" spans="1:15" ht="12.75">
      <c r="A609" s="747"/>
      <c r="B609" s="709"/>
      <c r="C609" s="705"/>
      <c r="D609" s="89"/>
      <c r="E609" s="633"/>
      <c r="F609" s="633"/>
      <c r="G609" s="292"/>
      <c r="N609" s="633"/>
      <c r="O609" s="633"/>
    </row>
    <row r="610" spans="1:15" ht="63.75">
      <c r="A610" s="747">
        <v>3</v>
      </c>
      <c r="B610" s="748" t="s">
        <v>336</v>
      </c>
      <c r="C610" s="705"/>
      <c r="D610" s="89"/>
      <c r="E610" s="633"/>
      <c r="F610" s="633"/>
      <c r="G610" s="292"/>
      <c r="N610" s="633"/>
      <c r="O610" s="633"/>
    </row>
    <row r="611" spans="1:15" ht="12.75">
      <c r="A611" s="747"/>
      <c r="B611" s="748" t="s">
        <v>337</v>
      </c>
      <c r="C611" s="705" t="s">
        <v>47</v>
      </c>
      <c r="D611" s="746">
        <v>1</v>
      </c>
      <c r="E611" s="89"/>
      <c r="F611" s="633">
        <f>D611*E611</f>
        <v>0</v>
      </c>
      <c r="G611" s="292">
        <v>45</v>
      </c>
      <c r="N611" s="633">
        <f>E611*1.2</f>
        <v>0</v>
      </c>
      <c r="O611" s="633">
        <f>N611*D611</f>
        <v>0</v>
      </c>
    </row>
    <row r="612" spans="1:15" ht="12.75">
      <c r="A612" s="747"/>
      <c r="B612" s="709"/>
      <c r="C612" s="705"/>
      <c r="D612" s="89"/>
      <c r="E612" s="633"/>
      <c r="F612" s="633"/>
      <c r="G612" s="292"/>
      <c r="N612" s="633"/>
      <c r="O612" s="633"/>
    </row>
    <row r="613" spans="1:15" ht="89.25">
      <c r="A613" s="747">
        <v>4</v>
      </c>
      <c r="B613" s="709" t="s">
        <v>338</v>
      </c>
      <c r="C613" s="705" t="s">
        <v>47</v>
      </c>
      <c r="D613" s="746">
        <v>1</v>
      </c>
      <c r="E613" s="89"/>
      <c r="F613" s="633">
        <f>D613*E613</f>
        <v>0</v>
      </c>
      <c r="G613" s="292">
        <v>40</v>
      </c>
      <c r="N613" s="633">
        <f>E613*1.2</f>
        <v>0</v>
      </c>
      <c r="O613" s="633">
        <f>N613*D613</f>
        <v>0</v>
      </c>
    </row>
    <row r="614" spans="1:15" ht="12.75">
      <c r="A614" s="747"/>
      <c r="B614" s="709"/>
      <c r="C614" s="705"/>
      <c r="D614" s="89"/>
      <c r="E614" s="633"/>
      <c r="F614" s="633"/>
      <c r="G614" s="292"/>
      <c r="N614" s="633"/>
      <c r="O614" s="633"/>
    </row>
    <row r="615" spans="1:15" ht="180.75" customHeight="1">
      <c r="A615" s="745" t="s">
        <v>339</v>
      </c>
      <c r="B615" s="594" t="s">
        <v>340</v>
      </c>
      <c r="C615" s="698"/>
      <c r="D615" s="89"/>
      <c r="E615" s="89"/>
      <c r="F615" s="89"/>
      <c r="G615" s="292"/>
      <c r="N615" s="633"/>
      <c r="O615" s="633"/>
    </row>
    <row r="616" spans="1:15" s="295" customFormat="1" ht="12.75">
      <c r="A616" s="749"/>
      <c r="B616" s="125" t="s">
        <v>341</v>
      </c>
      <c r="C616" s="698" t="s">
        <v>47</v>
      </c>
      <c r="D616" s="746">
        <v>1</v>
      </c>
      <c r="E616" s="89"/>
      <c r="F616" s="89">
        <f>D616*E616</f>
        <v>0</v>
      </c>
      <c r="G616" s="292">
        <v>100</v>
      </c>
      <c r="N616" s="633">
        <f>E616*1.2</f>
        <v>0</v>
      </c>
      <c r="O616" s="633">
        <f>N616*D616</f>
        <v>0</v>
      </c>
    </row>
    <row r="617" spans="1:15" ht="12.75" hidden="1">
      <c r="A617" s="745"/>
      <c r="B617" s="125"/>
      <c r="C617" s="698"/>
      <c r="D617" s="746"/>
      <c r="E617" s="89"/>
      <c r="F617" s="89"/>
      <c r="G617" s="292"/>
      <c r="N617" s="633"/>
      <c r="O617" s="633"/>
    </row>
    <row r="618" spans="1:15" ht="76.5" hidden="1">
      <c r="A618" s="745" t="s">
        <v>342</v>
      </c>
      <c r="B618" s="594" t="s">
        <v>343</v>
      </c>
      <c r="C618" s="698" t="s">
        <v>47</v>
      </c>
      <c r="D618" s="746">
        <v>0</v>
      </c>
      <c r="E618" s="89"/>
      <c r="F618" s="89">
        <f>D618*E618</f>
        <v>0</v>
      </c>
      <c r="G618" s="292"/>
      <c r="N618" s="633"/>
      <c r="O618" s="633"/>
    </row>
    <row r="619" spans="1:15" ht="12.75" hidden="1">
      <c r="A619" s="745"/>
      <c r="B619" s="125"/>
      <c r="C619" s="698"/>
      <c r="D619" s="746"/>
      <c r="E619" s="89"/>
      <c r="F619" s="89"/>
      <c r="G619" s="292"/>
      <c r="N619" s="633"/>
      <c r="O619" s="633"/>
    </row>
    <row r="620" spans="1:15" ht="63.75" hidden="1">
      <c r="A620" s="745" t="s">
        <v>344</v>
      </c>
      <c r="B620" s="594" t="s">
        <v>345</v>
      </c>
      <c r="C620" s="698"/>
      <c r="D620" s="89"/>
      <c r="E620" s="89"/>
      <c r="F620" s="89" t="s">
        <v>179</v>
      </c>
      <c r="G620" s="292"/>
      <c r="N620" s="633"/>
      <c r="O620" s="633"/>
    </row>
    <row r="621" spans="1:15" ht="12.75" hidden="1">
      <c r="A621" s="745"/>
      <c r="B621" s="750" t="s">
        <v>346</v>
      </c>
      <c r="C621" s="698" t="s">
        <v>47</v>
      </c>
      <c r="D621" s="746">
        <v>0</v>
      </c>
      <c r="E621" s="89"/>
      <c r="F621" s="89">
        <f>D621*E621</f>
        <v>0</v>
      </c>
      <c r="G621" s="292"/>
      <c r="N621" s="633"/>
      <c r="O621" s="633"/>
    </row>
    <row r="622" spans="1:15" ht="12.75" hidden="1">
      <c r="A622" s="745"/>
      <c r="B622" s="125" t="s">
        <v>347</v>
      </c>
      <c r="C622" s="698" t="s">
        <v>47</v>
      </c>
      <c r="D622" s="746">
        <v>0</v>
      </c>
      <c r="E622" s="89"/>
      <c r="F622" s="89">
        <f>D622*E622</f>
        <v>0</v>
      </c>
      <c r="G622" s="292"/>
      <c r="N622" s="633"/>
      <c r="O622" s="633"/>
    </row>
    <row r="623" spans="1:15" ht="12.75">
      <c r="A623" s="745"/>
      <c r="B623" s="125"/>
      <c r="C623" s="698"/>
      <c r="D623" s="89"/>
      <c r="E623" s="89"/>
      <c r="F623" s="89"/>
      <c r="G623" s="292"/>
      <c r="N623" s="633"/>
      <c r="O623" s="633"/>
    </row>
    <row r="624" spans="1:15" ht="127.5">
      <c r="A624" s="747">
        <v>6</v>
      </c>
      <c r="B624" s="709" t="s">
        <v>348</v>
      </c>
      <c r="C624" s="705"/>
      <c r="D624" s="89"/>
      <c r="E624" s="633"/>
      <c r="F624" s="633"/>
      <c r="G624" s="292"/>
      <c r="N624" s="633"/>
      <c r="O624" s="633"/>
    </row>
    <row r="625" spans="1:15" ht="12.75" hidden="1">
      <c r="A625" s="747"/>
      <c r="B625" s="751" t="s">
        <v>349</v>
      </c>
      <c r="C625" s="752" t="s">
        <v>350</v>
      </c>
      <c r="D625" s="632">
        <v>0</v>
      </c>
      <c r="E625" s="89"/>
      <c r="F625" s="632">
        <f aca="true" t="shared" si="9" ref="F625:F641">D625*E625</f>
        <v>0</v>
      </c>
      <c r="G625" s="296">
        <v>2</v>
      </c>
      <c r="N625" s="633"/>
      <c r="O625" s="633"/>
    </row>
    <row r="626" spans="1:15" s="295" customFormat="1" ht="12.75" hidden="1">
      <c r="A626" s="753"/>
      <c r="B626" s="751" t="s">
        <v>351</v>
      </c>
      <c r="C626" s="752" t="s">
        <v>350</v>
      </c>
      <c r="D626" s="632">
        <v>0</v>
      </c>
      <c r="E626" s="89"/>
      <c r="F626" s="632">
        <f t="shared" si="9"/>
        <v>0</v>
      </c>
      <c r="G626" s="296">
        <v>2</v>
      </c>
      <c r="N626" s="634"/>
      <c r="O626" s="634"/>
    </row>
    <row r="627" spans="1:15" s="298" customFormat="1" ht="12.75">
      <c r="A627" s="754"/>
      <c r="B627" s="751" t="s">
        <v>352</v>
      </c>
      <c r="C627" s="752" t="s">
        <v>350</v>
      </c>
      <c r="D627" s="632">
        <f>8.35+1.34+1.3</f>
        <v>10.99</v>
      </c>
      <c r="E627" s="89"/>
      <c r="F627" s="89">
        <f t="shared" si="9"/>
        <v>0</v>
      </c>
      <c r="G627" s="296">
        <v>2.5</v>
      </c>
      <c r="H627" s="297"/>
      <c r="I627" s="297"/>
      <c r="J627" s="297"/>
      <c r="K627" s="297"/>
      <c r="L627" s="297"/>
      <c r="N627" s="633">
        <f>E627*1.2</f>
        <v>0</v>
      </c>
      <c r="O627" s="633">
        <f>N627*D627</f>
        <v>0</v>
      </c>
    </row>
    <row r="628" spans="1:15" s="300" customFormat="1" ht="12.75" hidden="1">
      <c r="A628" s="755"/>
      <c r="B628" s="751" t="s">
        <v>353</v>
      </c>
      <c r="C628" s="752" t="s">
        <v>350</v>
      </c>
      <c r="D628" s="632">
        <v>0</v>
      </c>
      <c r="E628" s="89"/>
      <c r="F628" s="89">
        <f t="shared" si="9"/>
        <v>0</v>
      </c>
      <c r="G628" s="296">
        <v>3</v>
      </c>
      <c r="H628" s="299"/>
      <c r="I628" s="299"/>
      <c r="J628" s="299"/>
      <c r="K628" s="299"/>
      <c r="L628" s="299"/>
      <c r="N628" s="636"/>
      <c r="O628" s="636"/>
    </row>
    <row r="629" spans="1:15" s="300" customFormat="1" ht="12.75" hidden="1">
      <c r="A629" s="755"/>
      <c r="B629" s="751" t="s">
        <v>354</v>
      </c>
      <c r="C629" s="752" t="s">
        <v>350</v>
      </c>
      <c r="D629" s="632">
        <v>0</v>
      </c>
      <c r="E629" s="89"/>
      <c r="F629" s="89">
        <f t="shared" si="9"/>
        <v>0</v>
      </c>
      <c r="G629" s="296">
        <v>4</v>
      </c>
      <c r="H629" s="299"/>
      <c r="I629" s="299"/>
      <c r="J629" s="299"/>
      <c r="K629" s="299"/>
      <c r="L629" s="299"/>
      <c r="N629" s="636"/>
      <c r="O629" s="636"/>
    </row>
    <row r="630" spans="1:15" s="300" customFormat="1" ht="12.75" hidden="1">
      <c r="A630" s="755"/>
      <c r="B630" s="751" t="s">
        <v>355</v>
      </c>
      <c r="C630" s="752" t="s">
        <v>350</v>
      </c>
      <c r="D630" s="632">
        <v>0</v>
      </c>
      <c r="E630" s="89"/>
      <c r="F630" s="89">
        <f t="shared" si="9"/>
        <v>0</v>
      </c>
      <c r="G630" s="296">
        <v>5</v>
      </c>
      <c r="H630" s="299"/>
      <c r="I630" s="299"/>
      <c r="J630" s="299"/>
      <c r="K630" s="299"/>
      <c r="L630" s="299"/>
      <c r="N630" s="636"/>
      <c r="O630" s="636"/>
    </row>
    <row r="631" spans="1:15" s="300" customFormat="1" ht="12.75" hidden="1">
      <c r="A631" s="755"/>
      <c r="B631" s="751" t="s">
        <v>356</v>
      </c>
      <c r="C631" s="752" t="s">
        <v>350</v>
      </c>
      <c r="D631" s="632">
        <v>0</v>
      </c>
      <c r="E631" s="89"/>
      <c r="F631" s="89">
        <f t="shared" si="9"/>
        <v>0</v>
      </c>
      <c r="G631" s="296">
        <v>7.5</v>
      </c>
      <c r="H631" s="299"/>
      <c r="I631" s="299"/>
      <c r="J631" s="299"/>
      <c r="K631" s="299"/>
      <c r="L631" s="299"/>
      <c r="N631" s="636"/>
      <c r="O631" s="636"/>
    </row>
    <row r="632" spans="1:15" s="300" customFormat="1" ht="12.75" hidden="1">
      <c r="A632" s="755"/>
      <c r="B632" s="751" t="s">
        <v>357</v>
      </c>
      <c r="C632" s="752" t="s">
        <v>350</v>
      </c>
      <c r="D632" s="632">
        <v>0</v>
      </c>
      <c r="E632" s="89"/>
      <c r="F632" s="89">
        <f t="shared" si="9"/>
        <v>0</v>
      </c>
      <c r="G632" s="296">
        <v>10</v>
      </c>
      <c r="H632" s="299"/>
      <c r="I632" s="299"/>
      <c r="J632" s="299"/>
      <c r="K632" s="299"/>
      <c r="L632" s="299"/>
      <c r="N632" s="636"/>
      <c r="O632" s="636"/>
    </row>
    <row r="633" spans="1:15" s="298" customFormat="1" ht="12.75" hidden="1">
      <c r="A633" s="754"/>
      <c r="B633" s="751" t="s">
        <v>358</v>
      </c>
      <c r="C633" s="752" t="s">
        <v>350</v>
      </c>
      <c r="D633" s="632">
        <v>0</v>
      </c>
      <c r="E633" s="89"/>
      <c r="F633" s="89">
        <f t="shared" si="9"/>
        <v>0</v>
      </c>
      <c r="G633" s="296">
        <v>13</v>
      </c>
      <c r="H633" s="297"/>
      <c r="I633" s="297"/>
      <c r="J633" s="297"/>
      <c r="K633" s="297"/>
      <c r="L633" s="297"/>
      <c r="N633" s="635"/>
      <c r="O633" s="635"/>
    </row>
    <row r="634" spans="1:15" s="300" customFormat="1" ht="12.75" hidden="1">
      <c r="A634" s="755"/>
      <c r="B634" s="751" t="s">
        <v>359</v>
      </c>
      <c r="C634" s="752" t="s">
        <v>350</v>
      </c>
      <c r="D634" s="632">
        <v>0</v>
      </c>
      <c r="E634" s="89"/>
      <c r="F634" s="89">
        <f t="shared" si="9"/>
        <v>0</v>
      </c>
      <c r="G634" s="296">
        <v>16</v>
      </c>
      <c r="H634" s="299"/>
      <c r="I634" s="299"/>
      <c r="J634" s="299"/>
      <c r="K634" s="299"/>
      <c r="L634" s="299"/>
      <c r="N634" s="636"/>
      <c r="O634" s="636"/>
    </row>
    <row r="635" spans="1:15" s="300" customFormat="1" ht="12.75" hidden="1">
      <c r="A635" s="755"/>
      <c r="B635" s="704" t="s">
        <v>360</v>
      </c>
      <c r="C635" s="756" t="s">
        <v>350</v>
      </c>
      <c r="D635" s="632">
        <v>0</v>
      </c>
      <c r="E635" s="89"/>
      <c r="F635" s="89">
        <f t="shared" si="9"/>
        <v>0</v>
      </c>
      <c r="G635" s="296">
        <v>20</v>
      </c>
      <c r="H635" s="299"/>
      <c r="I635" s="299"/>
      <c r="J635" s="299"/>
      <c r="K635" s="299"/>
      <c r="L635" s="299"/>
      <c r="N635" s="636"/>
      <c r="O635" s="636"/>
    </row>
    <row r="636" spans="1:15" s="300" customFormat="1" ht="12.75" hidden="1">
      <c r="A636" s="755"/>
      <c r="B636" s="704" t="s">
        <v>361</v>
      </c>
      <c r="C636" s="756" t="s">
        <v>350</v>
      </c>
      <c r="D636" s="632">
        <v>0</v>
      </c>
      <c r="E636" s="89"/>
      <c r="F636" s="89">
        <f t="shared" si="9"/>
        <v>0</v>
      </c>
      <c r="G636" s="296">
        <v>25</v>
      </c>
      <c r="H636" s="299"/>
      <c r="I636" s="299"/>
      <c r="J636" s="299"/>
      <c r="K636" s="299"/>
      <c r="L636" s="299"/>
      <c r="N636" s="636"/>
      <c r="O636" s="636"/>
    </row>
    <row r="637" spans="1:15" s="149" customFormat="1" ht="12.75" hidden="1">
      <c r="A637" s="755"/>
      <c r="B637" s="751" t="s">
        <v>362</v>
      </c>
      <c r="C637" s="752" t="s">
        <v>350</v>
      </c>
      <c r="D637" s="632">
        <v>0</v>
      </c>
      <c r="E637" s="632"/>
      <c r="F637" s="632">
        <f t="shared" si="9"/>
        <v>0</v>
      </c>
      <c r="G637" s="171"/>
      <c r="H637" s="293"/>
      <c r="I637" s="293"/>
      <c r="J637" s="293"/>
      <c r="K637" s="293"/>
      <c r="L637" s="293"/>
      <c r="N637" s="632"/>
      <c r="O637" s="632"/>
    </row>
    <row r="638" spans="1:15" s="149" customFormat="1" ht="12.75" hidden="1">
      <c r="A638" s="755"/>
      <c r="B638" s="751" t="s">
        <v>363</v>
      </c>
      <c r="C638" s="752" t="s">
        <v>350</v>
      </c>
      <c r="D638" s="632">
        <v>0</v>
      </c>
      <c r="E638" s="632"/>
      <c r="F638" s="632">
        <f t="shared" si="9"/>
        <v>0</v>
      </c>
      <c r="G638" s="171"/>
      <c r="H638" s="293"/>
      <c r="I638" s="293"/>
      <c r="J638" s="293"/>
      <c r="K638" s="293"/>
      <c r="L638" s="293"/>
      <c r="N638" s="632"/>
      <c r="O638" s="632"/>
    </row>
    <row r="639" spans="1:15" s="149" customFormat="1" ht="12.75" hidden="1">
      <c r="A639" s="755"/>
      <c r="B639" s="751" t="s">
        <v>364</v>
      </c>
      <c r="C639" s="752" t="s">
        <v>350</v>
      </c>
      <c r="D639" s="632">
        <v>0</v>
      </c>
      <c r="E639" s="632"/>
      <c r="F639" s="632">
        <f t="shared" si="9"/>
        <v>0</v>
      </c>
      <c r="G639" s="171"/>
      <c r="H639" s="293"/>
      <c r="I639" s="293"/>
      <c r="J639" s="293"/>
      <c r="K639" s="293"/>
      <c r="L639" s="293"/>
      <c r="N639" s="632"/>
      <c r="O639" s="632"/>
    </row>
    <row r="640" spans="1:15" s="149" customFormat="1" ht="12.75" hidden="1">
      <c r="A640" s="755"/>
      <c r="B640" s="751" t="s">
        <v>365</v>
      </c>
      <c r="C640" s="752" t="s">
        <v>350</v>
      </c>
      <c r="D640" s="632">
        <v>0</v>
      </c>
      <c r="E640" s="632"/>
      <c r="F640" s="632">
        <f t="shared" si="9"/>
        <v>0</v>
      </c>
      <c r="G640" s="171"/>
      <c r="H640" s="293"/>
      <c r="I640" s="293"/>
      <c r="J640" s="293"/>
      <c r="K640" s="293"/>
      <c r="L640" s="293"/>
      <c r="N640" s="632"/>
      <c r="O640" s="632"/>
    </row>
    <row r="641" spans="1:15" s="149" customFormat="1" ht="12.75" hidden="1">
      <c r="A641" s="755"/>
      <c r="B641" s="751" t="s">
        <v>366</v>
      </c>
      <c r="C641" s="752" t="s">
        <v>350</v>
      </c>
      <c r="D641" s="632">
        <v>0</v>
      </c>
      <c r="E641" s="632"/>
      <c r="F641" s="632">
        <f t="shared" si="9"/>
        <v>0</v>
      </c>
      <c r="G641" s="171"/>
      <c r="H641" s="293"/>
      <c r="I641" s="293"/>
      <c r="J641" s="293"/>
      <c r="K641" s="293"/>
      <c r="L641" s="293"/>
      <c r="N641" s="632"/>
      <c r="O641" s="632"/>
    </row>
    <row r="642" spans="1:15" ht="12.75" hidden="1">
      <c r="A642" s="691"/>
      <c r="B642" s="709"/>
      <c r="C642" s="705"/>
      <c r="D642" s="632"/>
      <c r="E642" s="633"/>
      <c r="F642" s="633"/>
      <c r="G642" s="292"/>
      <c r="N642" s="633"/>
      <c r="O642" s="633"/>
    </row>
    <row r="643" spans="1:15" ht="114.75" hidden="1">
      <c r="A643" s="747">
        <v>7</v>
      </c>
      <c r="B643" s="709" t="s">
        <v>367</v>
      </c>
      <c r="C643" s="705" t="s">
        <v>208</v>
      </c>
      <c r="D643" s="89">
        <v>0</v>
      </c>
      <c r="E643" s="633"/>
      <c r="F643" s="633">
        <f>D643*E643</f>
        <v>0</v>
      </c>
      <c r="G643" s="292"/>
      <c r="N643" s="633"/>
      <c r="O643" s="633"/>
    </row>
    <row r="644" spans="1:15" ht="12.75">
      <c r="A644" s="747"/>
      <c r="B644" s="709"/>
      <c r="C644" s="705"/>
      <c r="D644" s="89"/>
      <c r="E644" s="633"/>
      <c r="F644" s="633"/>
      <c r="G644" s="292"/>
      <c r="N644" s="633"/>
      <c r="O644" s="633"/>
    </row>
    <row r="645" spans="1:15" ht="293.25">
      <c r="A645" s="757" t="s">
        <v>368</v>
      </c>
      <c r="B645" s="711" t="s">
        <v>369</v>
      </c>
      <c r="C645" s="712"/>
      <c r="D645" s="632"/>
      <c r="E645" s="632"/>
      <c r="F645" s="632"/>
      <c r="G645" s="292"/>
      <c r="N645" s="633"/>
      <c r="O645" s="633"/>
    </row>
    <row r="646" spans="1:15" ht="12.75" hidden="1">
      <c r="A646" s="758"/>
      <c r="B646" s="177" t="s">
        <v>370</v>
      </c>
      <c r="C646" s="101" t="s">
        <v>350</v>
      </c>
      <c r="D646" s="759">
        <v>0</v>
      </c>
      <c r="E646" s="632"/>
      <c r="F646" s="632">
        <f aca="true" t="shared" si="10" ref="F646:F655">D646*E646</f>
        <v>0</v>
      </c>
      <c r="G646" s="296">
        <v>3</v>
      </c>
      <c r="N646" s="633"/>
      <c r="O646" s="633"/>
    </row>
    <row r="647" spans="1:15" ht="12.75">
      <c r="A647" s="758"/>
      <c r="B647" s="177" t="s">
        <v>371</v>
      </c>
      <c r="C647" s="101" t="s">
        <v>350</v>
      </c>
      <c r="D647" s="759">
        <f>(0.1+0.7+0.7+1.04+0.5+0.99+0.26+0.5+0.93+0.7+1.07+0.7+1.04+0.5+0.89+0.41+0.5+0.88+0.7+0.1+0.43+1.04+0.8+0.27+1.7+0.1+0.7+0.7+0.5+0.88+0.95+0.33+0.5+0.87+0.7+2.1+0.5)*1.2</f>
        <v>31.535999999999994</v>
      </c>
      <c r="E647" s="632"/>
      <c r="F647" s="632">
        <f t="shared" si="10"/>
        <v>0</v>
      </c>
      <c r="G647" s="296">
        <v>3.5</v>
      </c>
      <c r="N647" s="633">
        <f>E647*1.2</f>
        <v>0</v>
      </c>
      <c r="O647" s="633">
        <f>N647*D647</f>
        <v>0</v>
      </c>
    </row>
    <row r="648" spans="1:15" s="150" customFormat="1" ht="12.75">
      <c r="A648" s="758"/>
      <c r="B648" s="177" t="s">
        <v>372</v>
      </c>
      <c r="C648" s="101" t="s">
        <v>350</v>
      </c>
      <c r="D648" s="759">
        <f>(3.4+3.4+0.19)*1.2</f>
        <v>8.388</v>
      </c>
      <c r="E648" s="632"/>
      <c r="F648" s="632">
        <f t="shared" si="10"/>
        <v>0</v>
      </c>
      <c r="G648" s="296">
        <v>4</v>
      </c>
      <c r="H648" s="302"/>
      <c r="N648" s="633">
        <f>E648*1.2</f>
        <v>0</v>
      </c>
      <c r="O648" s="633">
        <f>N648*D648</f>
        <v>0</v>
      </c>
    </row>
    <row r="649" spans="1:15" s="150" customFormat="1" ht="12.75">
      <c r="A649" s="758"/>
      <c r="B649" s="177" t="s">
        <v>373</v>
      </c>
      <c r="C649" s="101" t="s">
        <v>350</v>
      </c>
      <c r="D649" s="759">
        <f>(0.34+1.02+2.73+0.5)*1.2</f>
        <v>5.508</v>
      </c>
      <c r="E649" s="632"/>
      <c r="F649" s="632">
        <f t="shared" si="10"/>
        <v>0</v>
      </c>
      <c r="G649" s="296">
        <v>5</v>
      </c>
      <c r="H649" s="302"/>
      <c r="J649" s="301"/>
      <c r="N649" s="633">
        <f>E649*1.2</f>
        <v>0</v>
      </c>
      <c r="O649" s="633">
        <f>N649*D649</f>
        <v>0</v>
      </c>
    </row>
    <row r="650" spans="1:15" s="150" customFormat="1" ht="12.75" hidden="1">
      <c r="A650" s="758"/>
      <c r="B650" s="177" t="s">
        <v>374</v>
      </c>
      <c r="C650" s="101" t="s">
        <v>350</v>
      </c>
      <c r="D650" s="759">
        <v>0</v>
      </c>
      <c r="E650" s="632"/>
      <c r="F650" s="632">
        <f t="shared" si="10"/>
        <v>0</v>
      </c>
      <c r="G650" s="296">
        <v>6</v>
      </c>
      <c r="H650" s="302"/>
      <c r="N650" s="632"/>
      <c r="O650" s="632"/>
    </row>
    <row r="651" spans="1:15" s="150" customFormat="1" ht="12.75" hidden="1">
      <c r="A651" s="758"/>
      <c r="B651" s="177" t="s">
        <v>375</v>
      </c>
      <c r="C651" s="101" t="s">
        <v>350</v>
      </c>
      <c r="D651" s="759">
        <v>0</v>
      </c>
      <c r="E651" s="632"/>
      <c r="F651" s="632">
        <f t="shared" si="10"/>
        <v>0</v>
      </c>
      <c r="G651" s="296">
        <v>7</v>
      </c>
      <c r="H651" s="302"/>
      <c r="N651" s="632"/>
      <c r="O651" s="632"/>
    </row>
    <row r="652" spans="1:15" s="150" customFormat="1" ht="12.75" hidden="1">
      <c r="A652" s="758"/>
      <c r="B652" s="177" t="s">
        <v>376</v>
      </c>
      <c r="C652" s="101" t="s">
        <v>350</v>
      </c>
      <c r="D652" s="759">
        <v>0</v>
      </c>
      <c r="E652" s="632"/>
      <c r="F652" s="632">
        <f t="shared" si="10"/>
        <v>0</v>
      </c>
      <c r="G652" s="296">
        <v>8</v>
      </c>
      <c r="H652" s="302"/>
      <c r="N652" s="632"/>
      <c r="O652" s="632"/>
    </row>
    <row r="653" spans="1:15" s="150" customFormat="1" ht="12.75" hidden="1">
      <c r="A653" s="758"/>
      <c r="B653" s="177" t="s">
        <v>377</v>
      </c>
      <c r="C653" s="101" t="s">
        <v>350</v>
      </c>
      <c r="D653" s="759">
        <v>0</v>
      </c>
      <c r="E653" s="89"/>
      <c r="F653" s="89">
        <f t="shared" si="10"/>
        <v>0</v>
      </c>
      <c r="G653" s="296">
        <v>12</v>
      </c>
      <c r="H653" s="302"/>
      <c r="N653" s="632"/>
      <c r="O653" s="632"/>
    </row>
    <row r="654" spans="1:15" s="150" customFormat="1" ht="12.75" hidden="1">
      <c r="A654" s="758"/>
      <c r="B654" s="177" t="s">
        <v>378</v>
      </c>
      <c r="C654" s="101" t="s">
        <v>350</v>
      </c>
      <c r="D654" s="759">
        <v>0</v>
      </c>
      <c r="E654" s="89"/>
      <c r="F654" s="89">
        <f t="shared" si="10"/>
        <v>0</v>
      </c>
      <c r="G654" s="296">
        <v>15</v>
      </c>
      <c r="H654" s="302"/>
      <c r="N654" s="632"/>
      <c r="O654" s="632"/>
    </row>
    <row r="655" spans="1:15" s="150" customFormat="1" ht="12.75" hidden="1">
      <c r="A655" s="758"/>
      <c r="B655" s="177" t="s">
        <v>379</v>
      </c>
      <c r="C655" s="101" t="s">
        <v>350</v>
      </c>
      <c r="D655" s="759">
        <v>0</v>
      </c>
      <c r="E655" s="89"/>
      <c r="F655" s="89">
        <f t="shared" si="10"/>
        <v>0</v>
      </c>
      <c r="G655" s="296">
        <v>30</v>
      </c>
      <c r="H655" s="302"/>
      <c r="N655" s="632"/>
      <c r="O655" s="632"/>
    </row>
    <row r="656" spans="1:15" s="150" customFormat="1" ht="12.75" hidden="1">
      <c r="A656" s="747"/>
      <c r="B656" s="709"/>
      <c r="C656" s="705"/>
      <c r="D656" s="89"/>
      <c r="E656" s="633"/>
      <c r="F656" s="633"/>
      <c r="G656" s="303"/>
      <c r="H656" s="302"/>
      <c r="N656" s="632"/>
      <c r="O656" s="632"/>
    </row>
    <row r="657" spans="1:15" ht="153" hidden="1">
      <c r="A657" s="745" t="s">
        <v>380</v>
      </c>
      <c r="B657" s="594" t="s">
        <v>381</v>
      </c>
      <c r="C657" s="698"/>
      <c r="D657" s="89"/>
      <c r="E657" s="89"/>
      <c r="F657" s="89"/>
      <c r="G657" s="292"/>
      <c r="N657" s="633"/>
      <c r="O657" s="633"/>
    </row>
    <row r="658" spans="1:15" ht="12.75" hidden="1">
      <c r="A658" s="758"/>
      <c r="B658" s="177" t="s">
        <v>382</v>
      </c>
      <c r="C658" s="101" t="s">
        <v>350</v>
      </c>
      <c r="D658" s="759">
        <v>0</v>
      </c>
      <c r="E658" s="89"/>
      <c r="F658" s="89">
        <f aca="true" t="shared" si="11" ref="F658:F666">D658*E658</f>
        <v>0</v>
      </c>
      <c r="G658" s="296">
        <v>3.5</v>
      </c>
      <c r="N658" s="633"/>
      <c r="O658" s="633"/>
    </row>
    <row r="659" spans="1:15" ht="12.75" hidden="1">
      <c r="A659" s="758"/>
      <c r="B659" s="177" t="s">
        <v>383</v>
      </c>
      <c r="C659" s="101" t="s">
        <v>350</v>
      </c>
      <c r="D659" s="759">
        <v>0</v>
      </c>
      <c r="E659" s="89"/>
      <c r="F659" s="89">
        <f t="shared" si="11"/>
        <v>0</v>
      </c>
      <c r="G659" s="296">
        <v>4</v>
      </c>
      <c r="N659" s="633"/>
      <c r="O659" s="633"/>
    </row>
    <row r="660" spans="1:15" ht="12.75" hidden="1">
      <c r="A660" s="758"/>
      <c r="B660" s="177" t="s">
        <v>384</v>
      </c>
      <c r="C660" s="101" t="s">
        <v>350</v>
      </c>
      <c r="D660" s="759">
        <v>0</v>
      </c>
      <c r="E660" s="89"/>
      <c r="F660" s="89">
        <f t="shared" si="11"/>
        <v>0</v>
      </c>
      <c r="G660" s="296">
        <v>5</v>
      </c>
      <c r="N660" s="633"/>
      <c r="O660" s="633"/>
    </row>
    <row r="661" spans="1:15" ht="12.75" hidden="1">
      <c r="A661" s="758"/>
      <c r="B661" s="177" t="s">
        <v>385</v>
      </c>
      <c r="C661" s="101" t="s">
        <v>350</v>
      </c>
      <c r="D661" s="759">
        <v>0</v>
      </c>
      <c r="E661" s="89"/>
      <c r="F661" s="89">
        <f t="shared" si="11"/>
        <v>0</v>
      </c>
      <c r="G661" s="296">
        <v>6</v>
      </c>
      <c r="N661" s="633"/>
      <c r="O661" s="633"/>
    </row>
    <row r="662" spans="1:15" ht="12.75" hidden="1">
      <c r="A662" s="758"/>
      <c r="B662" s="177" t="s">
        <v>386</v>
      </c>
      <c r="C662" s="101" t="s">
        <v>350</v>
      </c>
      <c r="D662" s="759">
        <v>0</v>
      </c>
      <c r="E662" s="89"/>
      <c r="F662" s="89">
        <f t="shared" si="11"/>
        <v>0</v>
      </c>
      <c r="G662" s="296">
        <v>7.5</v>
      </c>
      <c r="N662" s="633"/>
      <c r="O662" s="633"/>
    </row>
    <row r="663" spans="1:15" ht="12.75" hidden="1">
      <c r="A663" s="758"/>
      <c r="B663" s="177" t="s">
        <v>387</v>
      </c>
      <c r="C663" s="101" t="s">
        <v>350</v>
      </c>
      <c r="D663" s="759">
        <v>0</v>
      </c>
      <c r="E663" s="89"/>
      <c r="F663" s="89">
        <f t="shared" si="11"/>
        <v>0</v>
      </c>
      <c r="G663" s="296">
        <v>9</v>
      </c>
      <c r="N663" s="633"/>
      <c r="O663" s="633"/>
    </row>
    <row r="664" spans="1:15" ht="12.75" hidden="1">
      <c r="A664" s="758"/>
      <c r="B664" s="177" t="s">
        <v>388</v>
      </c>
      <c r="C664" s="101" t="s">
        <v>350</v>
      </c>
      <c r="D664" s="759">
        <v>0</v>
      </c>
      <c r="E664" s="89"/>
      <c r="F664" s="89">
        <f t="shared" si="11"/>
        <v>0</v>
      </c>
      <c r="G664" s="296">
        <v>12</v>
      </c>
      <c r="N664" s="633"/>
      <c r="O664" s="633"/>
    </row>
    <row r="665" spans="1:15" ht="12.75" hidden="1">
      <c r="A665" s="758"/>
      <c r="B665" s="177" t="s">
        <v>389</v>
      </c>
      <c r="C665" s="101" t="s">
        <v>350</v>
      </c>
      <c r="D665" s="759">
        <v>0</v>
      </c>
      <c r="E665" s="89"/>
      <c r="F665" s="89">
        <f t="shared" si="11"/>
        <v>0</v>
      </c>
      <c r="G665" s="296">
        <v>15</v>
      </c>
      <c r="N665" s="633"/>
      <c r="O665" s="633"/>
    </row>
    <row r="666" spans="1:15" ht="12.75" hidden="1">
      <c r="A666" s="758"/>
      <c r="B666" s="177" t="s">
        <v>390</v>
      </c>
      <c r="C666" s="101" t="s">
        <v>350</v>
      </c>
      <c r="D666" s="759">
        <v>0</v>
      </c>
      <c r="E666" s="89"/>
      <c r="F666" s="89">
        <f t="shared" si="11"/>
        <v>0</v>
      </c>
      <c r="G666" s="296">
        <v>30</v>
      </c>
      <c r="N666" s="633"/>
      <c r="O666" s="633"/>
    </row>
    <row r="667" spans="1:15" ht="12.75">
      <c r="A667" s="745"/>
      <c r="B667" s="125"/>
      <c r="C667" s="698"/>
      <c r="D667" s="89"/>
      <c r="E667" s="89"/>
      <c r="F667" s="89"/>
      <c r="G667" s="296"/>
      <c r="N667" s="633"/>
      <c r="O667" s="633"/>
    </row>
    <row r="668" spans="1:15" ht="76.5">
      <c r="A668" s="745" t="s">
        <v>380</v>
      </c>
      <c r="B668" s="594" t="s">
        <v>391</v>
      </c>
      <c r="C668" s="698"/>
      <c r="D668" s="89"/>
      <c r="E668" s="89"/>
      <c r="F668" s="89"/>
      <c r="G668" s="292"/>
      <c r="N668" s="633"/>
      <c r="O668" s="633"/>
    </row>
    <row r="669" spans="1:15" ht="12.75">
      <c r="A669" s="757"/>
      <c r="B669" s="177" t="s">
        <v>392</v>
      </c>
      <c r="C669" s="712" t="s">
        <v>47</v>
      </c>
      <c r="D669" s="760">
        <v>11</v>
      </c>
      <c r="E669" s="632"/>
      <c r="F669" s="632">
        <f>D669*E669</f>
        <v>0</v>
      </c>
      <c r="G669" s="303">
        <v>7.5</v>
      </c>
      <c r="N669" s="633">
        <f>E669*1.2</f>
        <v>0</v>
      </c>
      <c r="O669" s="633">
        <f>N669*D669</f>
        <v>0</v>
      </c>
    </row>
    <row r="670" spans="1:15" s="150" customFormat="1" ht="12.75" customHeight="1">
      <c r="A670" s="757"/>
      <c r="B670" s="177" t="s">
        <v>393</v>
      </c>
      <c r="C670" s="712" t="s">
        <v>47</v>
      </c>
      <c r="D670" s="760">
        <v>1</v>
      </c>
      <c r="E670" s="632"/>
      <c r="F670" s="632">
        <f>D670*E670</f>
        <v>0</v>
      </c>
      <c r="G670" s="303">
        <v>10</v>
      </c>
      <c r="H670" s="302"/>
      <c r="N670" s="633">
        <f>E670*1.2</f>
        <v>0</v>
      </c>
      <c r="O670" s="633">
        <f>N670*D670</f>
        <v>0</v>
      </c>
    </row>
    <row r="671" spans="1:15" s="150" customFormat="1" ht="12.75">
      <c r="A671" s="745"/>
      <c r="B671" s="177"/>
      <c r="C671" s="177"/>
      <c r="D671" s="177"/>
      <c r="E671" s="177"/>
      <c r="F671" s="177"/>
      <c r="H671" s="302"/>
      <c r="N671" s="632"/>
      <c r="O671" s="632"/>
    </row>
    <row r="672" spans="1:15" s="150" customFormat="1" ht="63.75" hidden="1">
      <c r="A672" s="757" t="s">
        <v>394</v>
      </c>
      <c r="B672" s="711" t="s">
        <v>395</v>
      </c>
      <c r="C672" s="712"/>
      <c r="D672" s="632"/>
      <c r="E672" s="632"/>
      <c r="F672" s="632"/>
      <c r="G672" s="292"/>
      <c r="H672" s="302"/>
      <c r="N672" s="632"/>
      <c r="O672" s="632"/>
    </row>
    <row r="673" spans="1:15" s="150" customFormat="1" ht="12.75" hidden="1">
      <c r="A673" s="757"/>
      <c r="B673" s="177" t="s">
        <v>396</v>
      </c>
      <c r="C673" s="712" t="s">
        <v>47</v>
      </c>
      <c r="D673" s="760">
        <v>0</v>
      </c>
      <c r="E673" s="632"/>
      <c r="F673" s="632">
        <f aca="true" t="shared" si="12" ref="F673:F681">D673*E673</f>
        <v>0</v>
      </c>
      <c r="G673" s="303">
        <v>4</v>
      </c>
      <c r="H673" s="302"/>
      <c r="N673" s="632"/>
      <c r="O673" s="632"/>
    </row>
    <row r="674" spans="1:15" s="150" customFormat="1" ht="12.75" hidden="1">
      <c r="A674" s="757"/>
      <c r="B674" s="177" t="s">
        <v>397</v>
      </c>
      <c r="C674" s="712" t="s">
        <v>47</v>
      </c>
      <c r="D674" s="760">
        <v>0</v>
      </c>
      <c r="E674" s="632"/>
      <c r="F674" s="632">
        <f t="shared" si="12"/>
        <v>0</v>
      </c>
      <c r="G674" s="303">
        <v>4.5</v>
      </c>
      <c r="H674" s="302"/>
      <c r="N674" s="632"/>
      <c r="O674" s="632"/>
    </row>
    <row r="675" spans="1:15" s="150" customFormat="1" ht="12.75" hidden="1">
      <c r="A675" s="757"/>
      <c r="B675" s="177" t="s">
        <v>398</v>
      </c>
      <c r="C675" s="712" t="s">
        <v>47</v>
      </c>
      <c r="D675" s="760">
        <v>0</v>
      </c>
      <c r="E675" s="632"/>
      <c r="F675" s="632">
        <f t="shared" si="12"/>
        <v>0</v>
      </c>
      <c r="G675" s="303">
        <v>6</v>
      </c>
      <c r="H675" s="302"/>
      <c r="N675" s="632"/>
      <c r="O675" s="632"/>
    </row>
    <row r="676" spans="1:15" s="150" customFormat="1" ht="12.75" hidden="1">
      <c r="A676" s="757"/>
      <c r="B676" s="177" t="s">
        <v>399</v>
      </c>
      <c r="C676" s="712" t="s">
        <v>47</v>
      </c>
      <c r="D676" s="760">
        <v>0</v>
      </c>
      <c r="E676" s="632"/>
      <c r="F676" s="632">
        <f t="shared" si="12"/>
        <v>0</v>
      </c>
      <c r="G676" s="303">
        <v>9</v>
      </c>
      <c r="H676" s="302"/>
      <c r="N676" s="632"/>
      <c r="O676" s="632"/>
    </row>
    <row r="677" spans="1:15" s="150" customFormat="1" ht="12.75" hidden="1">
      <c r="A677" s="757"/>
      <c r="B677" s="177" t="s">
        <v>400</v>
      </c>
      <c r="C677" s="712" t="s">
        <v>47</v>
      </c>
      <c r="D677" s="760">
        <v>0</v>
      </c>
      <c r="E677" s="632"/>
      <c r="F677" s="632">
        <f t="shared" si="12"/>
        <v>0</v>
      </c>
      <c r="G677" s="303">
        <v>12.5</v>
      </c>
      <c r="H677" s="302"/>
      <c r="N677" s="632"/>
      <c r="O677" s="632"/>
    </row>
    <row r="678" spans="1:15" s="150" customFormat="1" ht="12.75" hidden="1">
      <c r="A678" s="757"/>
      <c r="B678" s="177" t="s">
        <v>401</v>
      </c>
      <c r="C678" s="712" t="s">
        <v>47</v>
      </c>
      <c r="D678" s="760">
        <v>0</v>
      </c>
      <c r="E678" s="632"/>
      <c r="F678" s="632">
        <f t="shared" si="12"/>
        <v>0</v>
      </c>
      <c r="G678" s="303">
        <v>20</v>
      </c>
      <c r="H678" s="302"/>
      <c r="N678" s="632"/>
      <c r="O678" s="632"/>
    </row>
    <row r="679" spans="1:15" s="150" customFormat="1" ht="12.75" hidden="1">
      <c r="A679" s="757"/>
      <c r="B679" s="177" t="s">
        <v>402</v>
      </c>
      <c r="C679" s="712" t="s">
        <v>47</v>
      </c>
      <c r="D679" s="760">
        <v>0</v>
      </c>
      <c r="E679" s="632"/>
      <c r="F679" s="632">
        <f t="shared" si="12"/>
        <v>0</v>
      </c>
      <c r="G679" s="303">
        <v>30</v>
      </c>
      <c r="H679" s="302"/>
      <c r="N679" s="632"/>
      <c r="O679" s="632"/>
    </row>
    <row r="680" spans="1:15" s="150" customFormat="1" ht="12.75" hidden="1">
      <c r="A680" s="745"/>
      <c r="B680" s="125" t="s">
        <v>403</v>
      </c>
      <c r="C680" s="698" t="s">
        <v>47</v>
      </c>
      <c r="D680" s="746">
        <v>0</v>
      </c>
      <c r="E680" s="89"/>
      <c r="F680" s="89">
        <f t="shared" si="12"/>
        <v>0</v>
      </c>
      <c r="G680" s="303">
        <v>45</v>
      </c>
      <c r="H680" s="302"/>
      <c r="N680" s="632"/>
      <c r="O680" s="632"/>
    </row>
    <row r="681" spans="1:15" s="150" customFormat="1" ht="12.75" hidden="1">
      <c r="A681" s="745"/>
      <c r="B681" s="125" t="s">
        <v>404</v>
      </c>
      <c r="C681" s="698" t="s">
        <v>47</v>
      </c>
      <c r="D681" s="746">
        <v>0</v>
      </c>
      <c r="E681" s="89"/>
      <c r="F681" s="89">
        <f t="shared" si="12"/>
        <v>0</v>
      </c>
      <c r="G681" s="303">
        <v>60</v>
      </c>
      <c r="H681" s="302"/>
      <c r="N681" s="632"/>
      <c r="O681" s="632"/>
    </row>
    <row r="682" spans="1:15" ht="12.75">
      <c r="A682" s="745"/>
      <c r="B682" s="125"/>
      <c r="C682" s="698"/>
      <c r="D682" s="89"/>
      <c r="E682" s="89"/>
      <c r="F682" s="89"/>
      <c r="G682" s="292"/>
      <c r="N682" s="633"/>
      <c r="O682" s="633"/>
    </row>
    <row r="683" spans="1:15" ht="38.25">
      <c r="A683" s="757" t="s">
        <v>405</v>
      </c>
      <c r="B683" s="711" t="s">
        <v>406</v>
      </c>
      <c r="C683" s="712"/>
      <c r="D683" s="632"/>
      <c r="E683" s="632"/>
      <c r="F683" s="632"/>
      <c r="G683" s="292"/>
      <c r="N683" s="633"/>
      <c r="O683" s="633"/>
    </row>
    <row r="684" spans="1:15" ht="12.75" hidden="1">
      <c r="A684" s="757"/>
      <c r="B684" s="177" t="s">
        <v>407</v>
      </c>
      <c r="C684" s="712" t="s">
        <v>47</v>
      </c>
      <c r="D684" s="760">
        <v>0</v>
      </c>
      <c r="E684" s="632"/>
      <c r="F684" s="632">
        <f>D684*E684</f>
        <v>0</v>
      </c>
      <c r="G684" s="292">
        <v>6</v>
      </c>
      <c r="N684" s="633"/>
      <c r="O684" s="633"/>
    </row>
    <row r="685" spans="1:15" ht="12.75" hidden="1">
      <c r="A685" s="757"/>
      <c r="B685" s="177" t="s">
        <v>408</v>
      </c>
      <c r="C685" s="712" t="s">
        <v>47</v>
      </c>
      <c r="D685" s="760">
        <v>0</v>
      </c>
      <c r="E685" s="632"/>
      <c r="F685" s="632">
        <f>D685*E685</f>
        <v>0</v>
      </c>
      <c r="G685" s="292"/>
      <c r="N685" s="633"/>
      <c r="O685" s="633"/>
    </row>
    <row r="686" spans="1:15" ht="12.75">
      <c r="A686" s="757"/>
      <c r="B686" s="177" t="s">
        <v>409</v>
      </c>
      <c r="C686" s="712" t="s">
        <v>47</v>
      </c>
      <c r="D686" s="760">
        <v>1</v>
      </c>
      <c r="E686" s="632"/>
      <c r="F686" s="632">
        <f>D686*E686</f>
        <v>0</v>
      </c>
      <c r="G686" s="292">
        <v>6</v>
      </c>
      <c r="N686" s="633">
        <f>E686*1.2</f>
        <v>0</v>
      </c>
      <c r="O686" s="633">
        <f>N686*D686</f>
        <v>0</v>
      </c>
    </row>
    <row r="687" spans="1:15" ht="12.75">
      <c r="A687" s="757"/>
      <c r="B687" s="177" t="s">
        <v>410</v>
      </c>
      <c r="C687" s="712" t="s">
        <v>47</v>
      </c>
      <c r="D687" s="760">
        <v>8</v>
      </c>
      <c r="E687" s="632"/>
      <c r="F687" s="632">
        <f>D687*E687</f>
        <v>0</v>
      </c>
      <c r="G687" s="292">
        <v>6</v>
      </c>
      <c r="N687" s="633">
        <f>E687*1.2</f>
        <v>0</v>
      </c>
      <c r="O687" s="633">
        <f>N687*D687</f>
        <v>0</v>
      </c>
    </row>
    <row r="688" spans="1:15" ht="12.75">
      <c r="A688" s="745"/>
      <c r="B688" s="125"/>
      <c r="C688" s="698"/>
      <c r="D688" s="89"/>
      <c r="E688" s="89"/>
      <c r="F688" s="89"/>
      <c r="G688" s="292"/>
      <c r="N688" s="633"/>
      <c r="O688" s="633"/>
    </row>
    <row r="689" spans="1:15" ht="51" hidden="1">
      <c r="A689" s="757" t="s">
        <v>411</v>
      </c>
      <c r="B689" s="711" t="s">
        <v>412</v>
      </c>
      <c r="C689" s="712" t="s">
        <v>47</v>
      </c>
      <c r="D689" s="760">
        <v>0</v>
      </c>
      <c r="E689" s="632"/>
      <c r="F689" s="632">
        <f>D689*E689</f>
        <v>0</v>
      </c>
      <c r="G689" s="292">
        <v>12.5</v>
      </c>
      <c r="N689" s="633"/>
      <c r="O689" s="633"/>
    </row>
    <row r="690" spans="1:15" ht="12.75" hidden="1">
      <c r="A690" s="745"/>
      <c r="B690" s="594"/>
      <c r="C690" s="698"/>
      <c r="D690" s="746"/>
      <c r="E690" s="89"/>
      <c r="F690" s="89"/>
      <c r="G690" s="292"/>
      <c r="N690" s="633"/>
      <c r="O690" s="633"/>
    </row>
    <row r="691" spans="1:15" ht="63.75">
      <c r="A691" s="755">
        <v>10</v>
      </c>
      <c r="B691" s="711" t="s">
        <v>413</v>
      </c>
      <c r="C691" s="101" t="s">
        <v>350</v>
      </c>
      <c r="D691" s="632">
        <f>SUM(D646:D655)</f>
        <v>45.431999999999995</v>
      </c>
      <c r="E691" s="632"/>
      <c r="F691" s="632">
        <f>D691*E691</f>
        <v>0</v>
      </c>
      <c r="G691" s="292">
        <v>1.5</v>
      </c>
      <c r="N691" s="633">
        <f>E691*1.2</f>
        <v>0</v>
      </c>
      <c r="O691" s="633">
        <f>N691*D691</f>
        <v>0</v>
      </c>
    </row>
    <row r="692" spans="1:15" ht="12.75">
      <c r="A692" s="755"/>
      <c r="B692" s="711"/>
      <c r="C692" s="101"/>
      <c r="D692" s="89"/>
      <c r="E692" s="89"/>
      <c r="F692" s="632"/>
      <c r="G692" s="292"/>
      <c r="N692" s="633"/>
      <c r="O692" s="633"/>
    </row>
    <row r="693" spans="1:15" ht="127.5">
      <c r="A693" s="755">
        <v>11</v>
      </c>
      <c r="B693" s="761" t="s">
        <v>414</v>
      </c>
      <c r="C693" s="762" t="s">
        <v>350</v>
      </c>
      <c r="D693" s="632">
        <f>0.8*D691</f>
        <v>36.3456</v>
      </c>
      <c r="E693" s="632"/>
      <c r="F693" s="763">
        <f>D693*E693</f>
        <v>0</v>
      </c>
      <c r="G693" s="292">
        <v>3</v>
      </c>
      <c r="N693" s="633">
        <f>E693*1.2</f>
        <v>0</v>
      </c>
      <c r="O693" s="633">
        <f>N693*D693</f>
        <v>0</v>
      </c>
    </row>
    <row r="694" spans="1:15" ht="12.75">
      <c r="A694" s="758"/>
      <c r="B694" s="177"/>
      <c r="C694" s="101"/>
      <c r="D694" s="759"/>
      <c r="E694" s="764"/>
      <c r="F694" s="632"/>
      <c r="G694" s="292"/>
      <c r="N694" s="633"/>
      <c r="O694" s="633"/>
    </row>
    <row r="695" spans="1:15" ht="127.5">
      <c r="A695" s="755">
        <v>12</v>
      </c>
      <c r="B695" s="761" t="s">
        <v>415</v>
      </c>
      <c r="C695" s="762" t="s">
        <v>350</v>
      </c>
      <c r="D695" s="632">
        <f>0.2*D691</f>
        <v>9.0864</v>
      </c>
      <c r="E695" s="632"/>
      <c r="F695" s="763">
        <f>D695*E695</f>
        <v>0</v>
      </c>
      <c r="G695" s="292">
        <v>5</v>
      </c>
      <c r="N695" s="633">
        <f>E695*1.2</f>
        <v>0</v>
      </c>
      <c r="O695" s="633">
        <f>N695*D695</f>
        <v>0</v>
      </c>
    </row>
    <row r="696" spans="1:15" ht="12.75" hidden="1">
      <c r="A696" s="745"/>
      <c r="B696" s="125"/>
      <c r="C696" s="698"/>
      <c r="D696" s="89"/>
      <c r="E696" s="89"/>
      <c r="F696" s="89"/>
      <c r="G696" s="292"/>
      <c r="N696" s="633"/>
      <c r="O696" s="633"/>
    </row>
    <row r="697" spans="1:15" ht="89.25" hidden="1">
      <c r="A697" s="765">
        <v>7</v>
      </c>
      <c r="B697" s="709" t="s">
        <v>416</v>
      </c>
      <c r="C697" s="766" t="s">
        <v>47</v>
      </c>
      <c r="D697" s="746">
        <v>0</v>
      </c>
      <c r="E697" s="89"/>
      <c r="F697" s="89">
        <f>D697*E697</f>
        <v>0</v>
      </c>
      <c r="G697" s="292">
        <v>100</v>
      </c>
      <c r="N697" s="633"/>
      <c r="O697" s="633"/>
    </row>
    <row r="698" spans="1:15" ht="12.75">
      <c r="A698" s="745"/>
      <c r="B698" s="125"/>
      <c r="C698" s="698"/>
      <c r="D698" s="89"/>
      <c r="E698" s="89"/>
      <c r="F698" s="89"/>
      <c r="G698" s="292"/>
      <c r="N698" s="633"/>
      <c r="O698" s="633"/>
    </row>
    <row r="699" spans="1:15" ht="76.5">
      <c r="A699" s="745" t="s">
        <v>417</v>
      </c>
      <c r="B699" s="700" t="s">
        <v>418</v>
      </c>
      <c r="C699" s="698" t="s">
        <v>419</v>
      </c>
      <c r="D699" s="89">
        <f>SUM(D625:D641)+SUM(D646:D655)+SUM(D658:D666)</f>
        <v>56.422</v>
      </c>
      <c r="E699" s="89"/>
      <c r="F699" s="89">
        <f>D699*E699</f>
        <v>0</v>
      </c>
      <c r="G699" s="292">
        <v>1.5</v>
      </c>
      <c r="N699" s="633">
        <f>E699*1.2</f>
        <v>0</v>
      </c>
      <c r="O699" s="633">
        <f>N699*D699</f>
        <v>0</v>
      </c>
    </row>
    <row r="700" spans="1:15" ht="12.75">
      <c r="A700" s="745"/>
      <c r="B700" s="700"/>
      <c r="C700" s="698"/>
      <c r="D700" s="89"/>
      <c r="E700" s="89"/>
      <c r="F700" s="89"/>
      <c r="G700" s="292"/>
      <c r="N700" s="633"/>
      <c r="O700" s="633"/>
    </row>
    <row r="701" spans="1:15" ht="63.75">
      <c r="A701" s="745" t="s">
        <v>420</v>
      </c>
      <c r="B701" s="767" t="s">
        <v>421</v>
      </c>
      <c r="C701" s="698" t="s">
        <v>71</v>
      </c>
      <c r="D701" s="89">
        <f>D699</f>
        <v>56.422</v>
      </c>
      <c r="E701" s="89"/>
      <c r="F701" s="89">
        <f>D701*E701</f>
        <v>0</v>
      </c>
      <c r="G701" s="292">
        <v>2</v>
      </c>
      <c r="N701" s="633">
        <f>E701*1.2</f>
        <v>0</v>
      </c>
      <c r="O701" s="633">
        <f>N701*D701</f>
        <v>0</v>
      </c>
    </row>
    <row r="702" spans="1:15" ht="15.75">
      <c r="A702" s="768"/>
      <c r="B702" s="701"/>
      <c r="C702" s="125"/>
      <c r="D702" s="125"/>
      <c r="E702" s="125"/>
      <c r="F702" s="89"/>
      <c r="G702" s="292"/>
      <c r="N702" s="633"/>
      <c r="O702" s="633"/>
    </row>
    <row r="703" spans="1:15" ht="15.75">
      <c r="A703" s="769" t="s">
        <v>732</v>
      </c>
      <c r="B703" s="1229" t="s">
        <v>422</v>
      </c>
      <c r="C703" s="1229"/>
      <c r="D703" s="1229"/>
      <c r="E703" s="770"/>
      <c r="F703" s="773">
        <f>SUM(F595:F702)</f>
        <v>0</v>
      </c>
      <c r="G703" s="771"/>
      <c r="H703" s="772"/>
      <c r="I703" s="772"/>
      <c r="J703" s="772"/>
      <c r="K703" s="772"/>
      <c r="L703" s="772"/>
      <c r="M703" s="772"/>
      <c r="N703" s="742"/>
      <c r="O703" s="773">
        <f>SUM(O594:O702)</f>
        <v>0</v>
      </c>
    </row>
    <row r="704" spans="1:15" ht="12.75">
      <c r="A704" s="31"/>
      <c r="B704" s="32"/>
      <c r="C704" s="26"/>
      <c r="D704" s="27"/>
      <c r="E704" s="28"/>
      <c r="F704" s="28"/>
      <c r="N704" s="89"/>
      <c r="O704" s="89"/>
    </row>
    <row r="705" spans="1:15" ht="12.75">
      <c r="A705" s="811" t="s">
        <v>733</v>
      </c>
      <c r="B705" s="812" t="s">
        <v>423</v>
      </c>
      <c r="C705" s="813"/>
      <c r="D705" s="814"/>
      <c r="E705" s="815"/>
      <c r="F705" s="815"/>
      <c r="G705" s="816"/>
      <c r="H705" s="817"/>
      <c r="I705" s="817"/>
      <c r="J705" s="817"/>
      <c r="K705" s="817"/>
      <c r="L705" s="817"/>
      <c r="M705" s="817"/>
      <c r="N705" s="818"/>
      <c r="O705" s="818"/>
    </row>
    <row r="706" spans="1:15" s="306" customFormat="1" ht="12.75">
      <c r="A706" s="687"/>
      <c r="B706" s="688"/>
      <c r="C706" s="688"/>
      <c r="D706" s="774"/>
      <c r="E706" s="690"/>
      <c r="F706" s="690"/>
      <c r="G706" s="305"/>
      <c r="N706" s="636"/>
      <c r="O706" s="636"/>
    </row>
    <row r="707" spans="1:15" s="150" customFormat="1" ht="76.5">
      <c r="A707" s="755">
        <v>1</v>
      </c>
      <c r="B707" s="775" t="s">
        <v>424</v>
      </c>
      <c r="C707" s="177"/>
      <c r="D707" s="776"/>
      <c r="E707" s="632"/>
      <c r="F707" s="632"/>
      <c r="G707" s="303"/>
      <c r="H707" s="307"/>
      <c r="N707" s="632"/>
      <c r="O707" s="632"/>
    </row>
    <row r="708" spans="1:15" s="309" customFormat="1" ht="12.75" hidden="1">
      <c r="A708" s="777"/>
      <c r="B708" s="177" t="s">
        <v>425</v>
      </c>
      <c r="C708" s="101" t="s">
        <v>142</v>
      </c>
      <c r="D708" s="776">
        <v>0</v>
      </c>
      <c r="E708" s="89"/>
      <c r="F708" s="632">
        <f>D708*E708</f>
        <v>0</v>
      </c>
      <c r="G708" s="303">
        <v>60</v>
      </c>
      <c r="H708" s="308"/>
      <c r="N708" s="635"/>
      <c r="O708" s="635"/>
    </row>
    <row r="709" spans="1:15" s="309" customFormat="1" ht="12.75">
      <c r="A709" s="777"/>
      <c r="B709" s="177" t="s">
        <v>426</v>
      </c>
      <c r="C709" s="101" t="s">
        <v>142</v>
      </c>
      <c r="D709" s="776">
        <v>1</v>
      </c>
      <c r="E709" s="89"/>
      <c r="F709" s="632">
        <f>D709*E709</f>
        <v>0</v>
      </c>
      <c r="G709" s="303">
        <v>80</v>
      </c>
      <c r="H709" s="308"/>
      <c r="N709" s="643">
        <f>E709*1.2</f>
        <v>0</v>
      </c>
      <c r="O709" s="643">
        <f>N709*D709</f>
        <v>0</v>
      </c>
    </row>
    <row r="710" spans="1:15" s="309" customFormat="1" ht="12.75" hidden="1">
      <c r="A710" s="777"/>
      <c r="B710" s="177" t="s">
        <v>427</v>
      </c>
      <c r="C710" s="101" t="s">
        <v>142</v>
      </c>
      <c r="D710" s="776">
        <v>0</v>
      </c>
      <c r="E710" s="89"/>
      <c r="F710" s="632">
        <f>D710*E710</f>
        <v>0</v>
      </c>
      <c r="G710" s="303">
        <v>60</v>
      </c>
      <c r="H710" s="308"/>
      <c r="N710" s="635"/>
      <c r="O710" s="635"/>
    </row>
    <row r="711" spans="1:15" s="150" customFormat="1" ht="12.75">
      <c r="A711" s="758"/>
      <c r="B711" s="177"/>
      <c r="C711" s="101"/>
      <c r="D711" s="776"/>
      <c r="E711" s="632"/>
      <c r="F711" s="632"/>
      <c r="G711" s="303"/>
      <c r="H711" s="302"/>
      <c r="N711" s="632"/>
      <c r="O711" s="632"/>
    </row>
    <row r="712" spans="1:15" s="150" customFormat="1" ht="76.5">
      <c r="A712" s="755">
        <v>2</v>
      </c>
      <c r="B712" s="775" t="s">
        <v>428</v>
      </c>
      <c r="C712" s="101"/>
      <c r="D712" s="776"/>
      <c r="E712" s="632"/>
      <c r="F712" s="632"/>
      <c r="G712" s="303"/>
      <c r="H712" s="302"/>
      <c r="N712" s="632"/>
      <c r="O712" s="632"/>
    </row>
    <row r="713" spans="1:15" s="150" customFormat="1" ht="12.75" hidden="1">
      <c r="A713" s="758"/>
      <c r="B713" s="778" t="s">
        <v>429</v>
      </c>
      <c r="C713" s="101" t="s">
        <v>142</v>
      </c>
      <c r="D713" s="776">
        <v>0</v>
      </c>
      <c r="E713" s="89"/>
      <c r="F713" s="632">
        <f>D713*E713</f>
        <v>0</v>
      </c>
      <c r="G713" s="303">
        <v>80</v>
      </c>
      <c r="H713" s="302"/>
      <c r="N713" s="632"/>
      <c r="O713" s="632"/>
    </row>
    <row r="714" spans="1:15" s="150" customFormat="1" ht="12.75">
      <c r="A714" s="758"/>
      <c r="B714" s="778" t="s">
        <v>430</v>
      </c>
      <c r="C714" s="101" t="s">
        <v>142</v>
      </c>
      <c r="D714" s="776">
        <v>2</v>
      </c>
      <c r="E714" s="89"/>
      <c r="F714" s="632">
        <f>D714*E714</f>
        <v>0</v>
      </c>
      <c r="G714" s="303">
        <v>106</v>
      </c>
      <c r="H714" s="302"/>
      <c r="N714" s="643">
        <f>E714*1.2</f>
        <v>0</v>
      </c>
      <c r="O714" s="643">
        <f>N714*D714</f>
        <v>0</v>
      </c>
    </row>
    <row r="715" spans="1:15" s="309" customFormat="1" ht="12.75" hidden="1">
      <c r="A715" s="777"/>
      <c r="B715" s="778" t="s">
        <v>431</v>
      </c>
      <c r="C715" s="101" t="s">
        <v>142</v>
      </c>
      <c r="D715" s="776">
        <v>0</v>
      </c>
      <c r="E715" s="89"/>
      <c r="F715" s="632">
        <f>D715*E715</f>
        <v>0</v>
      </c>
      <c r="G715" s="303">
        <v>135</v>
      </c>
      <c r="H715" s="308"/>
      <c r="N715" s="635"/>
      <c r="O715" s="635"/>
    </row>
    <row r="716" spans="1:15" s="150" customFormat="1" ht="12.75" hidden="1">
      <c r="A716" s="758"/>
      <c r="B716" s="778" t="s">
        <v>432</v>
      </c>
      <c r="C716" s="101" t="s">
        <v>142</v>
      </c>
      <c r="D716" s="776">
        <v>0</v>
      </c>
      <c r="E716" s="89"/>
      <c r="F716" s="632">
        <f>D716*E716</f>
        <v>0</v>
      </c>
      <c r="G716" s="303">
        <v>160</v>
      </c>
      <c r="H716" s="302"/>
      <c r="N716" s="632"/>
      <c r="O716" s="632"/>
    </row>
    <row r="717" spans="1:15" s="150" customFormat="1" ht="12.75" hidden="1">
      <c r="A717" s="758"/>
      <c r="B717" s="778"/>
      <c r="C717" s="101"/>
      <c r="D717" s="776"/>
      <c r="E717" s="632"/>
      <c r="F717" s="632"/>
      <c r="G717" s="303"/>
      <c r="H717" s="302"/>
      <c r="N717" s="632"/>
      <c r="O717" s="632"/>
    </row>
    <row r="718" spans="1:15" s="150" customFormat="1" ht="89.25" hidden="1">
      <c r="A718" s="755">
        <v>3</v>
      </c>
      <c r="B718" s="775" t="s">
        <v>433</v>
      </c>
      <c r="C718" s="101"/>
      <c r="D718" s="776"/>
      <c r="E718" s="632"/>
      <c r="F718" s="632"/>
      <c r="G718" s="303"/>
      <c r="H718" s="302"/>
      <c r="N718" s="632"/>
      <c r="O718" s="632"/>
    </row>
    <row r="719" spans="1:15" s="150" customFormat="1" ht="12.75" hidden="1">
      <c r="A719" s="758"/>
      <c r="B719" s="778" t="s">
        <v>434</v>
      </c>
      <c r="C719" s="101" t="s">
        <v>142</v>
      </c>
      <c r="D719" s="776">
        <v>0</v>
      </c>
      <c r="E719" s="632"/>
      <c r="F719" s="632">
        <f>D719*E719</f>
        <v>0</v>
      </c>
      <c r="G719" s="303"/>
      <c r="H719" s="302"/>
      <c r="N719" s="632"/>
      <c r="O719" s="632"/>
    </row>
    <row r="720" spans="1:15" s="150" customFormat="1" ht="12.75" hidden="1">
      <c r="A720" s="758"/>
      <c r="B720" s="778" t="s">
        <v>435</v>
      </c>
      <c r="C720" s="101" t="s">
        <v>142</v>
      </c>
      <c r="D720" s="776">
        <v>0</v>
      </c>
      <c r="E720" s="632"/>
      <c r="F720" s="632">
        <f>D720*E720</f>
        <v>0</v>
      </c>
      <c r="G720" s="303"/>
      <c r="H720" s="302"/>
      <c r="N720" s="632"/>
      <c r="O720" s="632"/>
    </row>
    <row r="721" spans="1:15" s="309" customFormat="1" ht="12.75" hidden="1">
      <c r="A721" s="777"/>
      <c r="B721" s="778" t="s">
        <v>436</v>
      </c>
      <c r="C721" s="101" t="s">
        <v>142</v>
      </c>
      <c r="D721" s="776">
        <v>0</v>
      </c>
      <c r="E721" s="632"/>
      <c r="F721" s="632">
        <f>D721*E721</f>
        <v>0</v>
      </c>
      <c r="G721" s="303"/>
      <c r="H721" s="308"/>
      <c r="N721" s="635"/>
      <c r="O721" s="635"/>
    </row>
    <row r="722" spans="1:15" s="150" customFormat="1" ht="12.75" hidden="1">
      <c r="A722" s="758"/>
      <c r="B722" s="778" t="s">
        <v>437</v>
      </c>
      <c r="C722" s="101" t="s">
        <v>142</v>
      </c>
      <c r="D722" s="776">
        <v>0</v>
      </c>
      <c r="E722" s="632"/>
      <c r="F722" s="632">
        <f>D722*E722</f>
        <v>0</v>
      </c>
      <c r="G722" s="303"/>
      <c r="H722" s="302"/>
      <c r="N722" s="632"/>
      <c r="O722" s="632"/>
    </row>
    <row r="723" spans="1:15" s="150" customFormat="1" ht="12.75">
      <c r="A723" s="758"/>
      <c r="B723" s="778"/>
      <c r="C723" s="101"/>
      <c r="D723" s="776"/>
      <c r="E723" s="632"/>
      <c r="F723" s="632"/>
      <c r="G723" s="303"/>
      <c r="H723" s="302"/>
      <c r="N723" s="632"/>
      <c r="O723" s="632"/>
    </row>
    <row r="724" spans="1:15" s="150" customFormat="1" ht="114.75">
      <c r="A724" s="755">
        <v>3</v>
      </c>
      <c r="B724" s="775" t="s">
        <v>438</v>
      </c>
      <c r="C724" s="101"/>
      <c r="D724" s="776"/>
      <c r="E724" s="632"/>
      <c r="F724" s="632"/>
      <c r="G724" s="303"/>
      <c r="H724" s="302"/>
      <c r="N724" s="632"/>
      <c r="O724" s="632"/>
    </row>
    <row r="725" spans="1:15" s="150" customFormat="1" ht="12.75" hidden="1">
      <c r="A725" s="758"/>
      <c r="B725" s="778" t="s">
        <v>439</v>
      </c>
      <c r="C725" s="101" t="s">
        <v>142</v>
      </c>
      <c r="D725" s="776">
        <v>0</v>
      </c>
      <c r="E725" s="89"/>
      <c r="F725" s="632">
        <f>D725*E725</f>
        <v>0</v>
      </c>
      <c r="G725" s="303">
        <v>70</v>
      </c>
      <c r="H725" s="302"/>
      <c r="N725" s="632"/>
      <c r="O725" s="632"/>
    </row>
    <row r="726" spans="1:15" s="150" customFormat="1" ht="12.75">
      <c r="A726" s="758"/>
      <c r="B726" s="778" t="s">
        <v>435</v>
      </c>
      <c r="C726" s="101" t="s">
        <v>142</v>
      </c>
      <c r="D726" s="776">
        <v>1</v>
      </c>
      <c r="E726" s="89"/>
      <c r="F726" s="632">
        <f>D726*E726</f>
        <v>0</v>
      </c>
      <c r="G726" s="303">
        <v>85</v>
      </c>
      <c r="H726" s="302"/>
      <c r="N726" s="643">
        <f>E726*1.2</f>
        <v>0</v>
      </c>
      <c r="O726" s="643">
        <f>N726*D726</f>
        <v>0</v>
      </c>
    </row>
    <row r="727" spans="1:15" s="309" customFormat="1" ht="12.75" customHeight="1" hidden="1">
      <c r="A727" s="777"/>
      <c r="B727" s="778" t="s">
        <v>436</v>
      </c>
      <c r="C727" s="101" t="s">
        <v>142</v>
      </c>
      <c r="D727" s="776">
        <v>0</v>
      </c>
      <c r="E727" s="89"/>
      <c r="F727" s="632">
        <f>D727*E727</f>
        <v>0</v>
      </c>
      <c r="G727" s="303">
        <v>120</v>
      </c>
      <c r="H727" s="308"/>
      <c r="N727" s="635"/>
      <c r="O727" s="635"/>
    </row>
    <row r="728" spans="1:15" s="150" customFormat="1" ht="12.75" hidden="1">
      <c r="A728" s="758"/>
      <c r="B728" s="778" t="s">
        <v>437</v>
      </c>
      <c r="C728" s="101" t="s">
        <v>142</v>
      </c>
      <c r="D728" s="776">
        <v>0</v>
      </c>
      <c r="E728" s="89"/>
      <c r="F728" s="632">
        <f>D728*E728</f>
        <v>0</v>
      </c>
      <c r="G728" s="303">
        <v>155</v>
      </c>
      <c r="H728" s="302"/>
      <c r="N728" s="632"/>
      <c r="O728" s="632"/>
    </row>
    <row r="729" spans="1:15" s="150" customFormat="1" ht="12.75">
      <c r="A729" s="758"/>
      <c r="B729" s="778"/>
      <c r="C729" s="101"/>
      <c r="D729" s="776"/>
      <c r="E729" s="632"/>
      <c r="F729" s="632"/>
      <c r="G729" s="303"/>
      <c r="H729" s="302"/>
      <c r="N729" s="632"/>
      <c r="O729" s="632"/>
    </row>
    <row r="730" spans="1:15" s="300" customFormat="1" ht="63.75">
      <c r="A730" s="779">
        <v>4</v>
      </c>
      <c r="B730" s="704" t="s">
        <v>440</v>
      </c>
      <c r="C730" s="756"/>
      <c r="D730" s="776"/>
      <c r="E730" s="636"/>
      <c r="F730" s="636"/>
      <c r="G730" s="310"/>
      <c r="H730" s="299"/>
      <c r="I730" s="299"/>
      <c r="J730" s="299"/>
      <c r="K730" s="299"/>
      <c r="L730" s="299"/>
      <c r="N730" s="636"/>
      <c r="O730" s="636"/>
    </row>
    <row r="731" spans="1:15" s="150" customFormat="1" ht="12.75" hidden="1">
      <c r="A731" s="758"/>
      <c r="B731" s="778" t="s">
        <v>441</v>
      </c>
      <c r="C731" s="101" t="s">
        <v>142</v>
      </c>
      <c r="D731" s="776">
        <v>0</v>
      </c>
      <c r="E731" s="89"/>
      <c r="F731" s="632">
        <f>D731*E731</f>
        <v>0</v>
      </c>
      <c r="G731" s="303">
        <v>130</v>
      </c>
      <c r="H731" s="302"/>
      <c r="N731" s="632"/>
      <c r="O731" s="632"/>
    </row>
    <row r="732" spans="1:15" s="150" customFormat="1" ht="12.75">
      <c r="A732" s="758"/>
      <c r="B732" s="778" t="s">
        <v>442</v>
      </c>
      <c r="C732" s="101" t="s">
        <v>142</v>
      </c>
      <c r="D732" s="776">
        <v>1</v>
      </c>
      <c r="E732" s="89"/>
      <c r="F732" s="632">
        <f>D732*E732</f>
        <v>0</v>
      </c>
      <c r="G732" s="303">
        <v>135</v>
      </c>
      <c r="H732" s="302"/>
      <c r="N732" s="643">
        <f>E732*1.2</f>
        <v>0</v>
      </c>
      <c r="O732" s="643">
        <f>N732*D732</f>
        <v>0</v>
      </c>
    </row>
    <row r="733" spans="1:15" s="309" customFormat="1" ht="12.75" hidden="1">
      <c r="A733" s="777"/>
      <c r="B733" s="778" t="s">
        <v>443</v>
      </c>
      <c r="C733" s="101" t="s">
        <v>142</v>
      </c>
      <c r="D733" s="776">
        <v>0</v>
      </c>
      <c r="E733" s="89"/>
      <c r="F733" s="632">
        <f>D733*E733</f>
        <v>0</v>
      </c>
      <c r="G733" s="303">
        <v>145</v>
      </c>
      <c r="H733" s="308"/>
      <c r="N733" s="635"/>
      <c r="O733" s="635"/>
    </row>
    <row r="734" spans="1:15" s="150" customFormat="1" ht="12.75" hidden="1">
      <c r="A734" s="758"/>
      <c r="B734" s="778" t="s">
        <v>444</v>
      </c>
      <c r="C734" s="101" t="s">
        <v>142</v>
      </c>
      <c r="D734" s="776">
        <v>0</v>
      </c>
      <c r="E734" s="89"/>
      <c r="F734" s="632">
        <f>D734*E734</f>
        <v>0</v>
      </c>
      <c r="G734" s="303">
        <v>175</v>
      </c>
      <c r="H734" s="302"/>
      <c r="N734" s="632"/>
      <c r="O734" s="632"/>
    </row>
    <row r="735" spans="1:15" s="300" customFormat="1" ht="12.75">
      <c r="A735" s="779"/>
      <c r="B735" s="704"/>
      <c r="C735" s="756"/>
      <c r="D735" s="776"/>
      <c r="E735" s="636"/>
      <c r="F735" s="636"/>
      <c r="G735" s="310"/>
      <c r="H735" s="299"/>
      <c r="I735" s="299"/>
      <c r="J735" s="299"/>
      <c r="K735" s="299"/>
      <c r="L735" s="299"/>
      <c r="N735" s="636"/>
      <c r="O735" s="636"/>
    </row>
    <row r="736" spans="1:15" s="300" customFormat="1" ht="114.75" hidden="1">
      <c r="A736" s="779">
        <v>5</v>
      </c>
      <c r="B736" s="780" t="s">
        <v>445</v>
      </c>
      <c r="C736" s="101"/>
      <c r="D736" s="776"/>
      <c r="E736" s="632"/>
      <c r="F736" s="632"/>
      <c r="G736" s="310"/>
      <c r="H736" s="299"/>
      <c r="I736" s="299"/>
      <c r="J736" s="299"/>
      <c r="K736" s="299"/>
      <c r="L736" s="299"/>
      <c r="N736" s="636"/>
      <c r="O736" s="636"/>
    </row>
    <row r="737" spans="1:15" s="150" customFormat="1" ht="12.75" hidden="1">
      <c r="A737" s="758"/>
      <c r="B737" s="778" t="s">
        <v>446</v>
      </c>
      <c r="C737" s="101" t="s">
        <v>142</v>
      </c>
      <c r="D737" s="776">
        <v>0</v>
      </c>
      <c r="E737" s="89"/>
      <c r="F737" s="632">
        <f>D737*E737</f>
        <v>0</v>
      </c>
      <c r="G737" s="303">
        <v>65</v>
      </c>
      <c r="H737" s="302"/>
      <c r="N737" s="632"/>
      <c r="O737" s="632"/>
    </row>
    <row r="738" spans="1:15" s="150" customFormat="1" ht="12.75" hidden="1">
      <c r="A738" s="758"/>
      <c r="B738" s="778" t="s">
        <v>447</v>
      </c>
      <c r="C738" s="101" t="s">
        <v>142</v>
      </c>
      <c r="D738" s="776">
        <v>0</v>
      </c>
      <c r="E738" s="89"/>
      <c r="F738" s="632">
        <f>D738*E738</f>
        <v>0</v>
      </c>
      <c r="G738" s="303">
        <v>85</v>
      </c>
      <c r="H738" s="302"/>
      <c r="N738" s="632"/>
      <c r="O738" s="632"/>
    </row>
    <row r="739" spans="1:15" s="309" customFormat="1" ht="12.75" hidden="1">
      <c r="A739" s="777"/>
      <c r="B739" s="778" t="s">
        <v>448</v>
      </c>
      <c r="C739" s="101" t="s">
        <v>142</v>
      </c>
      <c r="D739" s="776">
        <v>0</v>
      </c>
      <c r="E739" s="89"/>
      <c r="F739" s="632">
        <f>D739*E739</f>
        <v>0</v>
      </c>
      <c r="G739" s="303">
        <v>105</v>
      </c>
      <c r="H739" s="308"/>
      <c r="N739" s="635"/>
      <c r="O739" s="635"/>
    </row>
    <row r="740" spans="1:15" s="150" customFormat="1" ht="12.75" hidden="1">
      <c r="A740" s="758"/>
      <c r="B740" s="778" t="s">
        <v>449</v>
      </c>
      <c r="C740" s="101" t="s">
        <v>142</v>
      </c>
      <c r="D740" s="776">
        <v>0</v>
      </c>
      <c r="E740" s="89"/>
      <c r="F740" s="632">
        <f>D740*E740</f>
        <v>0</v>
      </c>
      <c r="G740" s="303">
        <v>125</v>
      </c>
      <c r="H740" s="302"/>
      <c r="N740" s="632"/>
      <c r="O740" s="632"/>
    </row>
    <row r="741" spans="1:15" s="300" customFormat="1" ht="12.75" hidden="1">
      <c r="A741" s="779"/>
      <c r="B741" s="704"/>
      <c r="C741" s="756"/>
      <c r="D741" s="776"/>
      <c r="E741" s="636"/>
      <c r="F741" s="636"/>
      <c r="G741" s="310"/>
      <c r="H741" s="299"/>
      <c r="I741" s="299"/>
      <c r="J741" s="299"/>
      <c r="K741" s="299"/>
      <c r="L741" s="299"/>
      <c r="N741" s="636"/>
      <c r="O741" s="636"/>
    </row>
    <row r="742" spans="1:15" s="300" customFormat="1" ht="89.25" hidden="1">
      <c r="A742" s="779">
        <v>6</v>
      </c>
      <c r="B742" s="704" t="s">
        <v>450</v>
      </c>
      <c r="C742" s="756"/>
      <c r="D742" s="776"/>
      <c r="E742" s="636"/>
      <c r="F742" s="636"/>
      <c r="G742" s="310"/>
      <c r="H742" s="299"/>
      <c r="I742" s="299"/>
      <c r="J742" s="299"/>
      <c r="K742" s="299"/>
      <c r="L742" s="299"/>
      <c r="N742" s="636"/>
      <c r="O742" s="636"/>
    </row>
    <row r="743" spans="1:15" s="300" customFormat="1" ht="12.75" hidden="1">
      <c r="A743" s="779"/>
      <c r="B743" s="704" t="s">
        <v>451</v>
      </c>
      <c r="C743" s="101" t="s">
        <v>142</v>
      </c>
      <c r="D743" s="776">
        <v>0</v>
      </c>
      <c r="E743" s="632"/>
      <c r="F743" s="632">
        <f>D743*E743</f>
        <v>0</v>
      </c>
      <c r="G743" s="310"/>
      <c r="H743" s="299"/>
      <c r="I743" s="299"/>
      <c r="J743" s="299"/>
      <c r="K743" s="299"/>
      <c r="L743" s="299"/>
      <c r="N743" s="636"/>
      <c r="O743" s="636"/>
    </row>
    <row r="744" spans="1:15" s="300" customFormat="1" ht="12.75" hidden="1">
      <c r="A744" s="779"/>
      <c r="B744" s="704" t="s">
        <v>452</v>
      </c>
      <c r="C744" s="101" t="s">
        <v>142</v>
      </c>
      <c r="D744" s="776">
        <v>0</v>
      </c>
      <c r="E744" s="632"/>
      <c r="F744" s="632">
        <f>D744*E744</f>
        <v>0</v>
      </c>
      <c r="G744" s="310"/>
      <c r="H744" s="299"/>
      <c r="I744" s="299"/>
      <c r="J744" s="299"/>
      <c r="K744" s="299"/>
      <c r="L744" s="299"/>
      <c r="N744" s="636"/>
      <c r="O744" s="636"/>
    </row>
    <row r="745" spans="1:15" s="300" customFormat="1" ht="12.75" hidden="1">
      <c r="A745" s="779"/>
      <c r="B745" s="704"/>
      <c r="C745" s="101"/>
      <c r="D745" s="776"/>
      <c r="E745" s="632"/>
      <c r="F745" s="632"/>
      <c r="G745" s="310"/>
      <c r="H745" s="299"/>
      <c r="I745" s="299"/>
      <c r="J745" s="299"/>
      <c r="K745" s="299"/>
      <c r="L745" s="299"/>
      <c r="N745" s="636"/>
      <c r="O745" s="636"/>
    </row>
    <row r="746" spans="1:15" s="300" customFormat="1" ht="63.75">
      <c r="A746" s="779">
        <v>5</v>
      </c>
      <c r="B746" s="751" t="s">
        <v>453</v>
      </c>
      <c r="C746" s="756"/>
      <c r="D746" s="776"/>
      <c r="E746" s="636"/>
      <c r="F746" s="636"/>
      <c r="G746" s="310"/>
      <c r="H746" s="299"/>
      <c r="I746" s="299"/>
      <c r="J746" s="299"/>
      <c r="K746" s="299"/>
      <c r="L746" s="299"/>
      <c r="N746" s="636"/>
      <c r="O746" s="636"/>
    </row>
    <row r="747" spans="1:15" s="300" customFormat="1" ht="12.75" hidden="1">
      <c r="A747" s="779"/>
      <c r="B747" s="704" t="s">
        <v>454</v>
      </c>
      <c r="C747" s="101" t="s">
        <v>142</v>
      </c>
      <c r="D747" s="776">
        <v>0</v>
      </c>
      <c r="E747" s="89"/>
      <c r="F747" s="632">
        <f aca="true" t="shared" si="13" ref="F747:F752">D747*E747</f>
        <v>0</v>
      </c>
      <c r="G747" s="310">
        <v>20.5</v>
      </c>
      <c r="H747" s="299"/>
      <c r="I747" s="299"/>
      <c r="J747" s="299"/>
      <c r="K747" s="299"/>
      <c r="L747" s="299"/>
      <c r="N747" s="636"/>
      <c r="O747" s="636"/>
    </row>
    <row r="748" spans="1:15" s="300" customFormat="1" ht="12.75" hidden="1">
      <c r="A748" s="779"/>
      <c r="B748" s="704" t="s">
        <v>455</v>
      </c>
      <c r="C748" s="101" t="s">
        <v>142</v>
      </c>
      <c r="D748" s="776">
        <v>0</v>
      </c>
      <c r="E748" s="89"/>
      <c r="F748" s="632">
        <f t="shared" si="13"/>
        <v>0</v>
      </c>
      <c r="G748" s="310">
        <v>20.5</v>
      </c>
      <c r="H748" s="299"/>
      <c r="I748" s="299"/>
      <c r="J748" s="299"/>
      <c r="K748" s="299"/>
      <c r="L748" s="299"/>
      <c r="N748" s="636"/>
      <c r="O748" s="636"/>
    </row>
    <row r="749" spans="1:15" s="300" customFormat="1" ht="12.75">
      <c r="A749" s="779"/>
      <c r="B749" s="751" t="s">
        <v>456</v>
      </c>
      <c r="C749" s="101" t="s">
        <v>142</v>
      </c>
      <c r="D749" s="776">
        <v>1</v>
      </c>
      <c r="E749" s="89"/>
      <c r="F749" s="632">
        <f t="shared" si="13"/>
        <v>0</v>
      </c>
      <c r="G749" s="310">
        <v>19.5</v>
      </c>
      <c r="H749" s="299"/>
      <c r="I749" s="299"/>
      <c r="J749" s="299"/>
      <c r="K749" s="299"/>
      <c r="L749" s="299"/>
      <c r="N749" s="643">
        <f>E749*1.2</f>
        <v>0</v>
      </c>
      <c r="O749" s="643">
        <f>N749*D749</f>
        <v>0</v>
      </c>
    </row>
    <row r="750" spans="1:15" s="300" customFormat="1" ht="12.75">
      <c r="A750" s="779"/>
      <c r="B750" s="704" t="s">
        <v>457</v>
      </c>
      <c r="C750" s="101" t="s">
        <v>142</v>
      </c>
      <c r="D750" s="776">
        <v>1</v>
      </c>
      <c r="E750" s="89"/>
      <c r="F750" s="632">
        <f t="shared" si="13"/>
        <v>0</v>
      </c>
      <c r="G750" s="310">
        <v>20.5</v>
      </c>
      <c r="H750" s="299"/>
      <c r="I750" s="299"/>
      <c r="J750" s="299"/>
      <c r="K750" s="299"/>
      <c r="L750" s="299"/>
      <c r="N750" s="643">
        <f>E750*1.2</f>
        <v>0</v>
      </c>
      <c r="O750" s="643">
        <f>N750*D750</f>
        <v>0</v>
      </c>
    </row>
    <row r="751" spans="1:15" s="298" customFormat="1" ht="12.75" hidden="1">
      <c r="A751" s="781"/>
      <c r="B751" s="751" t="s">
        <v>458</v>
      </c>
      <c r="C751" s="101" t="s">
        <v>142</v>
      </c>
      <c r="D751" s="776">
        <v>0</v>
      </c>
      <c r="E751" s="89"/>
      <c r="F751" s="632">
        <f t="shared" si="13"/>
        <v>0</v>
      </c>
      <c r="G751" s="310">
        <v>20.5</v>
      </c>
      <c r="H751" s="297"/>
      <c r="I751" s="297"/>
      <c r="J751" s="297"/>
      <c r="K751" s="297"/>
      <c r="L751" s="297"/>
      <c r="N751" s="635"/>
      <c r="O751" s="635"/>
    </row>
    <row r="752" spans="1:15" s="300" customFormat="1" ht="12.75" hidden="1">
      <c r="A752" s="779"/>
      <c r="B752" s="704" t="s">
        <v>459</v>
      </c>
      <c r="C752" s="101" t="s">
        <v>142</v>
      </c>
      <c r="D752" s="776">
        <v>0</v>
      </c>
      <c r="E752" s="89"/>
      <c r="F752" s="632">
        <f t="shared" si="13"/>
        <v>0</v>
      </c>
      <c r="G752" s="310">
        <v>20.5</v>
      </c>
      <c r="H752" s="299"/>
      <c r="I752" s="299"/>
      <c r="J752" s="299"/>
      <c r="K752" s="299"/>
      <c r="L752" s="299"/>
      <c r="N752" s="636"/>
      <c r="O752" s="636"/>
    </row>
    <row r="753" spans="1:15" s="300" customFormat="1" ht="12.75">
      <c r="A753" s="779"/>
      <c r="B753" s="704"/>
      <c r="C753" s="756"/>
      <c r="D753" s="776"/>
      <c r="E753" s="636"/>
      <c r="F753" s="636"/>
      <c r="G753" s="310"/>
      <c r="H753" s="299"/>
      <c r="I753" s="299"/>
      <c r="J753" s="299"/>
      <c r="K753" s="299"/>
      <c r="L753" s="299"/>
      <c r="N753" s="636"/>
      <c r="O753" s="636"/>
    </row>
    <row r="754" spans="1:15" s="150" customFormat="1" ht="89.25">
      <c r="A754" s="755">
        <v>6</v>
      </c>
      <c r="B754" s="775" t="s">
        <v>460</v>
      </c>
      <c r="C754" s="101"/>
      <c r="D754" s="776"/>
      <c r="E754" s="632"/>
      <c r="F754" s="632"/>
      <c r="G754" s="303"/>
      <c r="H754" s="302"/>
      <c r="N754" s="632"/>
      <c r="O754" s="632"/>
    </row>
    <row r="755" spans="1:15" s="150" customFormat="1" ht="12.75" customHeight="1" hidden="1">
      <c r="A755" s="758"/>
      <c r="B755" s="778" t="s">
        <v>461</v>
      </c>
      <c r="C755" s="101" t="s">
        <v>142</v>
      </c>
      <c r="D755" s="776">
        <v>0</v>
      </c>
      <c r="E755" s="89"/>
      <c r="F755" s="632">
        <f>D755*E755</f>
        <v>0</v>
      </c>
      <c r="G755" s="303">
        <v>450</v>
      </c>
      <c r="H755" s="302"/>
      <c r="N755" s="632"/>
      <c r="O755" s="632"/>
    </row>
    <row r="756" spans="1:15" s="150" customFormat="1" ht="12.75" customHeight="1">
      <c r="A756" s="758"/>
      <c r="B756" s="778" t="s">
        <v>462</v>
      </c>
      <c r="C756" s="101" t="s">
        <v>142</v>
      </c>
      <c r="D756" s="776">
        <v>1</v>
      </c>
      <c r="E756" s="89"/>
      <c r="F756" s="632">
        <f>D756*E756</f>
        <v>0</v>
      </c>
      <c r="G756" s="303">
        <v>550</v>
      </c>
      <c r="H756" s="302"/>
      <c r="N756" s="643">
        <f>E756*1.2</f>
        <v>0</v>
      </c>
      <c r="O756" s="643">
        <f>N756*D756</f>
        <v>0</v>
      </c>
    </row>
    <row r="757" spans="1:15" s="309" customFormat="1" ht="12.75" customHeight="1" hidden="1">
      <c r="A757" s="758"/>
      <c r="B757" s="778" t="s">
        <v>463</v>
      </c>
      <c r="C757" s="101" t="s">
        <v>142</v>
      </c>
      <c r="D757" s="776">
        <v>0</v>
      </c>
      <c r="E757" s="89"/>
      <c r="F757" s="632">
        <f>D757*E757</f>
        <v>0</v>
      </c>
      <c r="G757" s="303">
        <v>650</v>
      </c>
      <c r="H757" s="308"/>
      <c r="N757" s="635"/>
      <c r="O757" s="635"/>
    </row>
    <row r="758" spans="1:15" s="150" customFormat="1" ht="12.75" customHeight="1" hidden="1">
      <c r="A758" s="758"/>
      <c r="B758" s="778" t="s">
        <v>464</v>
      </c>
      <c r="C758" s="101" t="s">
        <v>142</v>
      </c>
      <c r="D758" s="776">
        <v>0</v>
      </c>
      <c r="E758" s="89"/>
      <c r="F758" s="632">
        <f>D758*E758</f>
        <v>0</v>
      </c>
      <c r="G758" s="303">
        <v>800</v>
      </c>
      <c r="H758" s="302"/>
      <c r="N758" s="632"/>
      <c r="O758" s="632"/>
    </row>
    <row r="759" spans="1:15" s="150" customFormat="1" ht="12.75">
      <c r="A759" s="758"/>
      <c r="B759" s="778"/>
      <c r="C759" s="101"/>
      <c r="D759" s="776"/>
      <c r="E759" s="632"/>
      <c r="F759" s="632"/>
      <c r="G759" s="303"/>
      <c r="H759" s="302"/>
      <c r="N759" s="632"/>
      <c r="O759" s="632"/>
    </row>
    <row r="760" spans="1:15" s="300" customFormat="1" ht="153">
      <c r="A760" s="779">
        <v>7</v>
      </c>
      <c r="B760" s="751" t="s">
        <v>465</v>
      </c>
      <c r="C760" s="752"/>
      <c r="D760" s="776"/>
      <c r="E760" s="632"/>
      <c r="F760" s="632"/>
      <c r="G760" s="310"/>
      <c r="H760" s="299"/>
      <c r="I760" s="299"/>
      <c r="J760" s="299"/>
      <c r="K760" s="299"/>
      <c r="L760" s="299"/>
      <c r="N760" s="636"/>
      <c r="O760" s="636"/>
    </row>
    <row r="761" spans="1:15" s="300" customFormat="1" ht="12.75" hidden="1">
      <c r="A761" s="755"/>
      <c r="B761" s="751" t="s">
        <v>466</v>
      </c>
      <c r="C761" s="752" t="s">
        <v>350</v>
      </c>
      <c r="D761" s="776">
        <v>0</v>
      </c>
      <c r="E761" s="89"/>
      <c r="F761" s="89">
        <f aca="true" t="shared" si="14" ref="F761:F775">D761*E761</f>
        <v>0</v>
      </c>
      <c r="G761" s="296">
        <v>2.5</v>
      </c>
      <c r="H761" s="299"/>
      <c r="I761" s="299"/>
      <c r="J761" s="299"/>
      <c r="K761" s="299"/>
      <c r="L761" s="299"/>
      <c r="N761" s="636"/>
      <c r="O761" s="636"/>
    </row>
    <row r="762" spans="1:15" s="300" customFormat="1" ht="12.75" hidden="1">
      <c r="A762" s="755"/>
      <c r="B762" s="751" t="s">
        <v>467</v>
      </c>
      <c r="C762" s="752" t="s">
        <v>350</v>
      </c>
      <c r="D762" s="776">
        <v>0</v>
      </c>
      <c r="E762" s="89"/>
      <c r="F762" s="89">
        <f t="shared" si="14"/>
        <v>0</v>
      </c>
      <c r="G762" s="296">
        <v>3</v>
      </c>
      <c r="H762" s="299"/>
      <c r="I762" s="299"/>
      <c r="J762" s="299"/>
      <c r="K762" s="299"/>
      <c r="L762" s="299"/>
      <c r="N762" s="636"/>
      <c r="O762" s="636"/>
    </row>
    <row r="763" spans="1:15" s="300" customFormat="1" ht="12.75" hidden="1">
      <c r="A763" s="755"/>
      <c r="B763" s="751" t="s">
        <v>468</v>
      </c>
      <c r="C763" s="752" t="s">
        <v>350</v>
      </c>
      <c r="D763" s="776">
        <v>0</v>
      </c>
      <c r="E763" s="89"/>
      <c r="F763" s="89">
        <f t="shared" si="14"/>
        <v>0</v>
      </c>
      <c r="G763" s="296">
        <v>4</v>
      </c>
      <c r="H763" s="299"/>
      <c r="I763" s="299"/>
      <c r="J763" s="299"/>
      <c r="K763" s="299"/>
      <c r="L763" s="299"/>
      <c r="N763" s="636"/>
      <c r="O763" s="636"/>
    </row>
    <row r="764" spans="1:15" s="300" customFormat="1" ht="12.75" hidden="1">
      <c r="A764" s="755"/>
      <c r="B764" s="751" t="s">
        <v>469</v>
      </c>
      <c r="C764" s="752" t="s">
        <v>350</v>
      </c>
      <c r="D764" s="776">
        <v>0</v>
      </c>
      <c r="E764" s="89"/>
      <c r="F764" s="89">
        <f t="shared" si="14"/>
        <v>0</v>
      </c>
      <c r="G764" s="296">
        <v>5</v>
      </c>
      <c r="H764" s="299"/>
      <c r="I764" s="299"/>
      <c r="J764" s="299"/>
      <c r="K764" s="299"/>
      <c r="L764" s="299"/>
      <c r="N764" s="636"/>
      <c r="O764" s="636"/>
    </row>
    <row r="765" spans="1:15" s="300" customFormat="1" ht="12.75" hidden="1">
      <c r="A765" s="755"/>
      <c r="B765" s="751" t="s">
        <v>470</v>
      </c>
      <c r="C765" s="752" t="s">
        <v>350</v>
      </c>
      <c r="D765" s="776">
        <v>0</v>
      </c>
      <c r="E765" s="89"/>
      <c r="F765" s="89">
        <f t="shared" si="14"/>
        <v>0</v>
      </c>
      <c r="G765" s="296">
        <v>7.5</v>
      </c>
      <c r="H765" s="299"/>
      <c r="I765" s="299"/>
      <c r="J765" s="299"/>
      <c r="K765" s="299"/>
      <c r="L765" s="299"/>
      <c r="N765" s="636"/>
      <c r="O765" s="636"/>
    </row>
    <row r="766" spans="1:15" s="300" customFormat="1" ht="12.75" hidden="1">
      <c r="A766" s="755"/>
      <c r="B766" s="751" t="s">
        <v>471</v>
      </c>
      <c r="C766" s="752" t="s">
        <v>350</v>
      </c>
      <c r="D766" s="776">
        <v>0</v>
      </c>
      <c r="E766" s="89"/>
      <c r="F766" s="89">
        <f t="shared" si="14"/>
        <v>0</v>
      </c>
      <c r="G766" s="296">
        <v>10</v>
      </c>
      <c r="H766" s="299"/>
      <c r="I766" s="299"/>
      <c r="J766" s="299"/>
      <c r="K766" s="299"/>
      <c r="L766" s="299"/>
      <c r="N766" s="636"/>
      <c r="O766" s="636"/>
    </row>
    <row r="767" spans="1:15" s="300" customFormat="1" ht="12.75">
      <c r="A767" s="755"/>
      <c r="B767" s="782" t="s">
        <v>472</v>
      </c>
      <c r="C767" s="752" t="s">
        <v>350</v>
      </c>
      <c r="D767" s="760">
        <f>1.1+1.91+5.27+2.98+7.74+2</f>
        <v>21</v>
      </c>
      <c r="E767" s="89"/>
      <c r="F767" s="89">
        <f t="shared" si="14"/>
        <v>0</v>
      </c>
      <c r="G767" s="296">
        <v>13</v>
      </c>
      <c r="H767" s="299"/>
      <c r="I767" s="299"/>
      <c r="J767" s="299"/>
      <c r="K767" s="299"/>
      <c r="L767" s="299"/>
      <c r="N767" s="643">
        <f>E767*1.2</f>
        <v>0</v>
      </c>
      <c r="O767" s="643">
        <f>N767*D767</f>
        <v>0</v>
      </c>
    </row>
    <row r="768" spans="1:15" s="300" customFormat="1" ht="12.75" hidden="1">
      <c r="A768" s="755"/>
      <c r="B768" s="704" t="s">
        <v>359</v>
      </c>
      <c r="C768" s="756" t="s">
        <v>350</v>
      </c>
      <c r="D768" s="776">
        <v>0</v>
      </c>
      <c r="E768" s="89"/>
      <c r="F768" s="89">
        <f t="shared" si="14"/>
        <v>0</v>
      </c>
      <c r="G768" s="296">
        <v>16</v>
      </c>
      <c r="H768" s="299"/>
      <c r="I768" s="299"/>
      <c r="J768" s="299"/>
      <c r="K768" s="299"/>
      <c r="L768" s="299"/>
      <c r="N768" s="636"/>
      <c r="O768" s="636"/>
    </row>
    <row r="769" spans="1:15" s="300" customFormat="1" ht="12.75" hidden="1">
      <c r="A769" s="755"/>
      <c r="B769" s="704" t="s">
        <v>360</v>
      </c>
      <c r="C769" s="756" t="s">
        <v>350</v>
      </c>
      <c r="D769" s="776">
        <v>0</v>
      </c>
      <c r="E769" s="89"/>
      <c r="F769" s="89">
        <f t="shared" si="14"/>
        <v>0</v>
      </c>
      <c r="G769" s="296">
        <v>20</v>
      </c>
      <c r="H769" s="299"/>
      <c r="I769" s="299"/>
      <c r="J769" s="299"/>
      <c r="K769" s="299"/>
      <c r="L769" s="299"/>
      <c r="N769" s="636"/>
      <c r="O769" s="636"/>
    </row>
    <row r="770" spans="1:15" s="300" customFormat="1" ht="12.75" hidden="1">
      <c r="A770" s="755"/>
      <c r="B770" s="704" t="s">
        <v>361</v>
      </c>
      <c r="C770" s="756" t="s">
        <v>350</v>
      </c>
      <c r="D770" s="776">
        <v>0</v>
      </c>
      <c r="E770" s="89"/>
      <c r="F770" s="89">
        <f t="shared" si="14"/>
        <v>0</v>
      </c>
      <c r="G770" s="296">
        <v>25</v>
      </c>
      <c r="H770" s="299"/>
      <c r="I770" s="299"/>
      <c r="J770" s="299"/>
      <c r="K770" s="299"/>
      <c r="L770" s="299"/>
      <c r="N770" s="636"/>
      <c r="O770" s="636"/>
    </row>
    <row r="771" spans="1:15" s="149" customFormat="1" ht="12.75" hidden="1">
      <c r="A771" s="755"/>
      <c r="B771" s="751" t="s">
        <v>362</v>
      </c>
      <c r="C771" s="752" t="s">
        <v>350</v>
      </c>
      <c r="D771" s="776">
        <v>0</v>
      </c>
      <c r="E771" s="632"/>
      <c r="F771" s="632">
        <f t="shared" si="14"/>
        <v>0</v>
      </c>
      <c r="G771" s="171"/>
      <c r="H771" s="293"/>
      <c r="I771" s="293"/>
      <c r="J771" s="293"/>
      <c r="K771" s="293"/>
      <c r="L771" s="293"/>
      <c r="N771" s="632"/>
      <c r="O771" s="632"/>
    </row>
    <row r="772" spans="1:15" s="149" customFormat="1" ht="12.75" hidden="1">
      <c r="A772" s="755"/>
      <c r="B772" s="751" t="s">
        <v>363</v>
      </c>
      <c r="C772" s="752" t="s">
        <v>350</v>
      </c>
      <c r="D772" s="776">
        <v>0</v>
      </c>
      <c r="E772" s="632"/>
      <c r="F772" s="632">
        <f t="shared" si="14"/>
        <v>0</v>
      </c>
      <c r="G772" s="171"/>
      <c r="H772" s="293"/>
      <c r="I772" s="293"/>
      <c r="J772" s="293"/>
      <c r="K772" s="293"/>
      <c r="L772" s="293"/>
      <c r="N772" s="632"/>
      <c r="O772" s="632"/>
    </row>
    <row r="773" spans="1:15" s="149" customFormat="1" ht="12.75" hidden="1">
      <c r="A773" s="755"/>
      <c r="B773" s="751" t="s">
        <v>364</v>
      </c>
      <c r="C773" s="752" t="s">
        <v>350</v>
      </c>
      <c r="D773" s="776">
        <v>0</v>
      </c>
      <c r="E773" s="632"/>
      <c r="F773" s="632">
        <f t="shared" si="14"/>
        <v>0</v>
      </c>
      <c r="G773" s="171"/>
      <c r="H773" s="293"/>
      <c r="I773" s="293"/>
      <c r="J773" s="293"/>
      <c r="K773" s="293"/>
      <c r="L773" s="293"/>
      <c r="N773" s="632"/>
      <c r="O773" s="632"/>
    </row>
    <row r="774" spans="1:15" s="149" customFormat="1" ht="12.75" hidden="1">
      <c r="A774" s="755"/>
      <c r="B774" s="751" t="s">
        <v>365</v>
      </c>
      <c r="C774" s="752" t="s">
        <v>350</v>
      </c>
      <c r="D774" s="776">
        <v>0</v>
      </c>
      <c r="E774" s="632"/>
      <c r="F774" s="632">
        <f t="shared" si="14"/>
        <v>0</v>
      </c>
      <c r="G774" s="171"/>
      <c r="H774" s="293"/>
      <c r="I774" s="293"/>
      <c r="J774" s="293"/>
      <c r="K774" s="293"/>
      <c r="L774" s="293"/>
      <c r="N774" s="632"/>
      <c r="O774" s="632"/>
    </row>
    <row r="775" spans="1:15" s="149" customFormat="1" ht="12.75" hidden="1">
      <c r="A775" s="755"/>
      <c r="B775" s="751" t="s">
        <v>366</v>
      </c>
      <c r="C775" s="752" t="s">
        <v>350</v>
      </c>
      <c r="D775" s="776">
        <v>0</v>
      </c>
      <c r="E775" s="632"/>
      <c r="F775" s="632">
        <f t="shared" si="14"/>
        <v>0</v>
      </c>
      <c r="G775" s="171"/>
      <c r="H775" s="293"/>
      <c r="I775" s="293"/>
      <c r="J775" s="293"/>
      <c r="K775" s="293"/>
      <c r="L775" s="293"/>
      <c r="N775" s="632"/>
      <c r="O775" s="632"/>
    </row>
    <row r="776" spans="1:15" s="300" customFormat="1" ht="12.75">
      <c r="A776" s="755"/>
      <c r="B776" s="704"/>
      <c r="C776" s="756"/>
      <c r="D776" s="776"/>
      <c r="E776" s="636"/>
      <c r="F776" s="636"/>
      <c r="G776" s="310"/>
      <c r="H776" s="299"/>
      <c r="I776" s="299"/>
      <c r="J776" s="299"/>
      <c r="K776" s="299"/>
      <c r="L776" s="299"/>
      <c r="N776" s="636"/>
      <c r="O776" s="636"/>
    </row>
    <row r="777" spans="1:15" s="150" customFormat="1" ht="178.5" hidden="1">
      <c r="A777" s="755">
        <v>15</v>
      </c>
      <c r="B777" s="775" t="s">
        <v>473</v>
      </c>
      <c r="C777" s="783"/>
      <c r="D777" s="776"/>
      <c r="E777" s="632"/>
      <c r="F777" s="632"/>
      <c r="G777" s="303"/>
      <c r="H777" s="302"/>
      <c r="N777" s="632"/>
      <c r="O777" s="632"/>
    </row>
    <row r="778" spans="1:15" s="150" customFormat="1" ht="12.75" hidden="1">
      <c r="A778" s="758"/>
      <c r="B778" s="177" t="s">
        <v>474</v>
      </c>
      <c r="C778" s="101" t="s">
        <v>350</v>
      </c>
      <c r="D778" s="776">
        <v>0</v>
      </c>
      <c r="E778" s="632"/>
      <c r="F778" s="632">
        <f>D778*E778</f>
        <v>0</v>
      </c>
      <c r="G778" s="303"/>
      <c r="H778" s="302"/>
      <c r="N778" s="632"/>
      <c r="O778" s="632"/>
    </row>
    <row r="779" spans="1:15" s="150" customFormat="1" ht="12.75" hidden="1">
      <c r="A779" s="758"/>
      <c r="B779" s="177"/>
      <c r="C779" s="101"/>
      <c r="D779" s="776"/>
      <c r="E779" s="632"/>
      <c r="F779" s="632"/>
      <c r="G779" s="303"/>
      <c r="H779" s="302"/>
      <c r="N779" s="632"/>
      <c r="O779" s="632"/>
    </row>
    <row r="780" spans="1:15" s="298" customFormat="1" ht="38.25">
      <c r="A780" s="779">
        <v>8</v>
      </c>
      <c r="B780" s="751" t="s">
        <v>475</v>
      </c>
      <c r="C780" s="752"/>
      <c r="D780" s="776"/>
      <c r="E780" s="632"/>
      <c r="F780" s="632"/>
      <c r="G780" s="310"/>
      <c r="H780" s="297"/>
      <c r="I780" s="297"/>
      <c r="J780" s="297"/>
      <c r="K780" s="297"/>
      <c r="L780" s="297"/>
      <c r="N780" s="635"/>
      <c r="O780" s="635"/>
    </row>
    <row r="781" spans="1:15" s="298" customFormat="1" ht="12.75">
      <c r="A781" s="779"/>
      <c r="B781" s="751" t="s">
        <v>476</v>
      </c>
      <c r="C781" s="752" t="s">
        <v>47</v>
      </c>
      <c r="D781" s="776">
        <v>1</v>
      </c>
      <c r="E781" s="89"/>
      <c r="F781" s="632">
        <f>D781*E781</f>
        <v>0</v>
      </c>
      <c r="G781" s="310">
        <v>205</v>
      </c>
      <c r="H781" s="297"/>
      <c r="I781" s="297"/>
      <c r="J781" s="297"/>
      <c r="K781" s="297"/>
      <c r="L781" s="297"/>
      <c r="N781" s="643">
        <f>E781*1.2</f>
        <v>0</v>
      </c>
      <c r="O781" s="643">
        <f>N781*D781</f>
        <v>0</v>
      </c>
    </row>
    <row r="782" spans="1:15" s="300" customFormat="1" ht="12.75">
      <c r="A782" s="779"/>
      <c r="B782" s="751"/>
      <c r="C782" s="752"/>
      <c r="D782" s="776"/>
      <c r="E782" s="632"/>
      <c r="F782" s="632"/>
      <c r="G782" s="310"/>
      <c r="H782" s="299"/>
      <c r="I782" s="299"/>
      <c r="J782" s="299"/>
      <c r="K782" s="299"/>
      <c r="L782" s="299"/>
      <c r="N782" s="636"/>
      <c r="O782" s="636"/>
    </row>
    <row r="783" spans="1:15" s="298" customFormat="1" ht="63.75">
      <c r="A783" s="779">
        <v>9</v>
      </c>
      <c r="B783" s="751" t="s">
        <v>477</v>
      </c>
      <c r="C783" s="752"/>
      <c r="D783" s="776"/>
      <c r="E783" s="632"/>
      <c r="F783" s="632"/>
      <c r="G783" s="310"/>
      <c r="H783" s="297"/>
      <c r="I783" s="297"/>
      <c r="J783" s="297"/>
      <c r="K783" s="297"/>
      <c r="L783" s="297"/>
      <c r="N783" s="635"/>
      <c r="O783" s="635"/>
    </row>
    <row r="784" spans="1:15" s="298" customFormat="1" ht="12.75">
      <c r="A784" s="779"/>
      <c r="B784" s="751" t="s">
        <v>478</v>
      </c>
      <c r="C784" s="752" t="s">
        <v>47</v>
      </c>
      <c r="D784" s="776">
        <v>1</v>
      </c>
      <c r="E784" s="89"/>
      <c r="F784" s="632">
        <f>D784*E784</f>
        <v>0</v>
      </c>
      <c r="G784" s="310"/>
      <c r="H784" s="297"/>
      <c r="I784" s="297"/>
      <c r="J784" s="297"/>
      <c r="K784" s="297"/>
      <c r="L784" s="297"/>
      <c r="N784" s="643">
        <f>E784*1.2</f>
        <v>0</v>
      </c>
      <c r="O784" s="643">
        <f>N784*D784</f>
        <v>0</v>
      </c>
    </row>
    <row r="785" spans="1:15" s="300" customFormat="1" ht="12.75">
      <c r="A785" s="779"/>
      <c r="B785" s="751"/>
      <c r="C785" s="752"/>
      <c r="D785" s="776"/>
      <c r="E785" s="632"/>
      <c r="F785" s="632"/>
      <c r="G785" s="310"/>
      <c r="H785" s="299"/>
      <c r="I785" s="299"/>
      <c r="J785" s="299"/>
      <c r="K785" s="299"/>
      <c r="L785" s="299"/>
      <c r="N785" s="636"/>
      <c r="O785" s="636"/>
    </row>
    <row r="786" spans="1:15" s="298" customFormat="1" ht="89.25">
      <c r="A786" s="779">
        <v>10</v>
      </c>
      <c r="B786" s="751" t="s">
        <v>479</v>
      </c>
      <c r="C786" s="752" t="s">
        <v>47</v>
      </c>
      <c r="D786" s="776">
        <v>1</v>
      </c>
      <c r="E786" s="89"/>
      <c r="F786" s="632">
        <f>D786*E786</f>
        <v>0</v>
      </c>
      <c r="G786" s="310">
        <v>45</v>
      </c>
      <c r="H786" s="297"/>
      <c r="I786" s="297"/>
      <c r="J786" s="297"/>
      <c r="K786" s="297"/>
      <c r="L786" s="297"/>
      <c r="N786" s="643">
        <f>E786*1.2</f>
        <v>0</v>
      </c>
      <c r="O786" s="643">
        <f>N786*D786</f>
        <v>0</v>
      </c>
    </row>
    <row r="787" spans="1:15" s="300" customFormat="1" ht="12.75">
      <c r="A787" s="779"/>
      <c r="B787" s="751"/>
      <c r="C787" s="752"/>
      <c r="D787" s="776"/>
      <c r="E787" s="632"/>
      <c r="F787" s="632"/>
      <c r="G787" s="310"/>
      <c r="H787" s="299"/>
      <c r="I787" s="299"/>
      <c r="J787" s="299"/>
      <c r="K787" s="299"/>
      <c r="L787" s="299"/>
      <c r="N787" s="636"/>
      <c r="O787" s="636"/>
    </row>
    <row r="788" spans="1:15" s="298" customFormat="1" ht="38.25">
      <c r="A788" s="779">
        <v>11</v>
      </c>
      <c r="B788" s="751" t="s">
        <v>480</v>
      </c>
      <c r="C788" s="752"/>
      <c r="D788" s="776"/>
      <c r="E788" s="632"/>
      <c r="F788" s="632"/>
      <c r="G788" s="310"/>
      <c r="H788" s="297"/>
      <c r="I788" s="297"/>
      <c r="J788" s="297"/>
      <c r="K788" s="297"/>
      <c r="L788" s="297"/>
      <c r="N788" s="635"/>
      <c r="O788" s="635"/>
    </row>
    <row r="789" spans="1:15" s="298" customFormat="1" ht="12.75">
      <c r="A789" s="779"/>
      <c r="B789" s="751" t="s">
        <v>481</v>
      </c>
      <c r="C789" s="752" t="s">
        <v>47</v>
      </c>
      <c r="D789" s="776">
        <v>1</v>
      </c>
      <c r="E789" s="632"/>
      <c r="F789" s="632">
        <f>D789*E789</f>
        <v>0</v>
      </c>
      <c r="G789" s="310">
        <v>60</v>
      </c>
      <c r="H789" s="297"/>
      <c r="I789" s="297"/>
      <c r="J789" s="297"/>
      <c r="K789" s="297"/>
      <c r="L789" s="297"/>
      <c r="N789" s="643">
        <f>E789*1.2</f>
        <v>0</v>
      </c>
      <c r="O789" s="643">
        <f>N789*D789</f>
        <v>0</v>
      </c>
    </row>
    <row r="790" spans="1:15" s="300" customFormat="1" ht="12.75">
      <c r="A790" s="779"/>
      <c r="B790" s="751"/>
      <c r="C790" s="752"/>
      <c r="D790" s="776"/>
      <c r="E790" s="632"/>
      <c r="F790" s="632"/>
      <c r="G790" s="310"/>
      <c r="H790" s="299"/>
      <c r="I790" s="299"/>
      <c r="J790" s="299"/>
      <c r="K790" s="299"/>
      <c r="L790" s="299"/>
      <c r="N790" s="636"/>
      <c r="O790" s="636"/>
    </row>
    <row r="791" spans="1:15" s="309" customFormat="1" ht="127.5">
      <c r="A791" s="755">
        <v>12</v>
      </c>
      <c r="B791" s="711" t="s">
        <v>482</v>
      </c>
      <c r="C791" s="101"/>
      <c r="D791" s="776"/>
      <c r="E791" s="632"/>
      <c r="F791" s="632"/>
      <c r="G791" s="303"/>
      <c r="H791" s="308"/>
      <c r="N791" s="635"/>
      <c r="O791" s="635"/>
    </row>
    <row r="792" spans="1:15" s="309" customFormat="1" ht="12.75" customHeight="1" hidden="1">
      <c r="A792" s="758"/>
      <c r="B792" s="177" t="s">
        <v>483</v>
      </c>
      <c r="C792" s="101" t="s">
        <v>142</v>
      </c>
      <c r="D792" s="776">
        <v>0</v>
      </c>
      <c r="E792" s="632"/>
      <c r="F792" s="632">
        <f>D792*E792</f>
        <v>0</v>
      </c>
      <c r="G792" s="303">
        <v>365</v>
      </c>
      <c r="H792" s="308"/>
      <c r="N792" s="635"/>
      <c r="O792" s="635"/>
    </row>
    <row r="793" spans="1:15" s="309" customFormat="1" ht="12.75" customHeight="1">
      <c r="A793" s="758"/>
      <c r="B793" s="177" t="s">
        <v>484</v>
      </c>
      <c r="C793" s="101" t="s">
        <v>142</v>
      </c>
      <c r="D793" s="776">
        <v>1</v>
      </c>
      <c r="E793" s="632"/>
      <c r="F793" s="632">
        <f>D793*E793</f>
        <v>0</v>
      </c>
      <c r="G793" s="303">
        <v>550</v>
      </c>
      <c r="H793" s="308"/>
      <c r="N793" s="643">
        <f>E793*1.2</f>
        <v>0</v>
      </c>
      <c r="O793" s="643">
        <f>N793*D793</f>
        <v>0</v>
      </c>
    </row>
    <row r="794" spans="1:15" s="309" customFormat="1" ht="12.75" customHeight="1" hidden="1">
      <c r="A794" s="777"/>
      <c r="B794" s="177" t="s">
        <v>485</v>
      </c>
      <c r="C794" s="101" t="s">
        <v>142</v>
      </c>
      <c r="D794" s="776">
        <v>0</v>
      </c>
      <c r="E794" s="89"/>
      <c r="F794" s="632">
        <f>D794*E794</f>
        <v>0</v>
      </c>
      <c r="G794" s="303">
        <v>300</v>
      </c>
      <c r="H794" s="308"/>
      <c r="N794" s="635"/>
      <c r="O794" s="635"/>
    </row>
    <row r="795" spans="1:15" s="309" customFormat="1" ht="12.75" customHeight="1" hidden="1">
      <c r="A795" s="777"/>
      <c r="B795" s="177" t="s">
        <v>486</v>
      </c>
      <c r="C795" s="101" t="s">
        <v>142</v>
      </c>
      <c r="D795" s="776">
        <v>0</v>
      </c>
      <c r="E795" s="89"/>
      <c r="F795" s="632">
        <f>D795*E795</f>
        <v>0</v>
      </c>
      <c r="G795" s="303">
        <v>350</v>
      </c>
      <c r="H795" s="308"/>
      <c r="N795" s="635"/>
      <c r="O795" s="635"/>
    </row>
    <row r="796" spans="1:15" s="150" customFormat="1" ht="12.75" customHeight="1" hidden="1">
      <c r="A796" s="758"/>
      <c r="B796" s="177"/>
      <c r="C796" s="101"/>
      <c r="D796" s="776"/>
      <c r="E796" s="632"/>
      <c r="F796" s="632"/>
      <c r="G796" s="303"/>
      <c r="H796" s="302"/>
      <c r="N796" s="632"/>
      <c r="O796" s="632"/>
    </row>
    <row r="797" spans="1:15" s="150" customFormat="1" ht="89.25" hidden="1">
      <c r="A797" s="755">
        <v>21</v>
      </c>
      <c r="B797" s="784" t="s">
        <v>487</v>
      </c>
      <c r="C797" s="101" t="s">
        <v>142</v>
      </c>
      <c r="D797" s="776">
        <v>0</v>
      </c>
      <c r="E797" s="632"/>
      <c r="F797" s="632">
        <f>D797*E797</f>
        <v>0</v>
      </c>
      <c r="G797" s="303"/>
      <c r="H797" s="302"/>
      <c r="N797" s="632"/>
      <c r="O797" s="632"/>
    </row>
    <row r="798" spans="1:15" s="150" customFormat="1" ht="12.75" customHeight="1" hidden="1">
      <c r="A798" s="758"/>
      <c r="B798" s="177"/>
      <c r="C798" s="101"/>
      <c r="D798" s="776"/>
      <c r="E798" s="632"/>
      <c r="F798" s="632"/>
      <c r="G798" s="303"/>
      <c r="H798" s="302"/>
      <c r="N798" s="632"/>
      <c r="O798" s="632"/>
    </row>
    <row r="799" spans="1:15" s="150" customFormat="1" ht="153" hidden="1">
      <c r="A799" s="755">
        <v>15</v>
      </c>
      <c r="B799" s="711" t="s">
        <v>488</v>
      </c>
      <c r="C799" s="101" t="s">
        <v>142</v>
      </c>
      <c r="D799" s="776">
        <v>0</v>
      </c>
      <c r="E799" s="89"/>
      <c r="F799" s="632">
        <f>D799*E799</f>
        <v>0</v>
      </c>
      <c r="G799" s="311">
        <v>325</v>
      </c>
      <c r="H799" s="302"/>
      <c r="N799" s="632"/>
      <c r="O799" s="632"/>
    </row>
    <row r="800" spans="1:15" s="150" customFormat="1" ht="12.75" hidden="1">
      <c r="A800" s="755"/>
      <c r="B800" s="711"/>
      <c r="C800" s="101"/>
      <c r="D800" s="776"/>
      <c r="E800" s="632"/>
      <c r="F800" s="632"/>
      <c r="G800" s="303"/>
      <c r="H800" s="302"/>
      <c r="N800" s="632"/>
      <c r="O800" s="632"/>
    </row>
    <row r="801" spans="1:15" s="150" customFormat="1" ht="165.75" hidden="1">
      <c r="A801" s="755">
        <v>15</v>
      </c>
      <c r="B801" s="711" t="s">
        <v>489</v>
      </c>
      <c r="C801" s="101" t="s">
        <v>142</v>
      </c>
      <c r="D801" s="776">
        <v>0</v>
      </c>
      <c r="E801" s="89"/>
      <c r="F801" s="632">
        <f>D801*E801</f>
        <v>0</v>
      </c>
      <c r="G801" s="311">
        <v>475</v>
      </c>
      <c r="H801" s="302"/>
      <c r="N801" s="632"/>
      <c r="O801" s="632"/>
    </row>
    <row r="802" spans="1:15" s="150" customFormat="1" ht="12.75">
      <c r="A802" s="754"/>
      <c r="B802" s="785"/>
      <c r="C802" s="786"/>
      <c r="D802" s="776"/>
      <c r="E802" s="635"/>
      <c r="F802" s="635"/>
      <c r="G802" s="303"/>
      <c r="H802" s="302"/>
      <c r="N802" s="632"/>
      <c r="O802" s="632"/>
    </row>
    <row r="803" spans="1:15" s="150" customFormat="1" ht="153">
      <c r="A803" s="755">
        <v>13</v>
      </c>
      <c r="B803" s="711" t="s">
        <v>490</v>
      </c>
      <c r="C803" s="101" t="s">
        <v>142</v>
      </c>
      <c r="D803" s="776">
        <v>1</v>
      </c>
      <c r="E803" s="632"/>
      <c r="F803" s="632">
        <f>D803*E803</f>
        <v>0</v>
      </c>
      <c r="G803" s="311">
        <v>325</v>
      </c>
      <c r="H803" s="302"/>
      <c r="N803" s="643">
        <f>E803*1.2</f>
        <v>0</v>
      </c>
      <c r="O803" s="643">
        <f>N803*D803</f>
        <v>0</v>
      </c>
    </row>
    <row r="804" spans="1:15" s="150" customFormat="1" ht="12.75" hidden="1">
      <c r="A804" s="758"/>
      <c r="B804" s="177"/>
      <c r="C804" s="101"/>
      <c r="D804" s="776"/>
      <c r="E804" s="632"/>
      <c r="F804" s="632"/>
      <c r="G804" s="303"/>
      <c r="H804" s="302"/>
      <c r="N804" s="632"/>
      <c r="O804" s="632"/>
    </row>
    <row r="805" spans="1:15" s="150" customFormat="1" ht="165.75" hidden="1">
      <c r="A805" s="755">
        <v>9</v>
      </c>
      <c r="B805" s="711" t="s">
        <v>491</v>
      </c>
      <c r="C805" s="101" t="s">
        <v>142</v>
      </c>
      <c r="D805" s="776">
        <v>0</v>
      </c>
      <c r="E805" s="89"/>
      <c r="F805" s="632">
        <f>D805*E805</f>
        <v>0</v>
      </c>
      <c r="G805" s="311">
        <v>475</v>
      </c>
      <c r="H805" s="302"/>
      <c r="N805" s="632"/>
      <c r="O805" s="632"/>
    </row>
    <row r="806" spans="1:15" s="150" customFormat="1" ht="12.75">
      <c r="A806" s="758"/>
      <c r="B806" s="177"/>
      <c r="C806" s="101"/>
      <c r="D806" s="776"/>
      <c r="E806" s="632"/>
      <c r="F806" s="632"/>
      <c r="G806" s="303"/>
      <c r="H806" s="302"/>
      <c r="N806" s="632"/>
      <c r="O806" s="632"/>
    </row>
    <row r="807" spans="1:15" s="150" customFormat="1" ht="204">
      <c r="A807" s="755">
        <v>14</v>
      </c>
      <c r="B807" s="775" t="s">
        <v>492</v>
      </c>
      <c r="C807" s="177"/>
      <c r="D807" s="776"/>
      <c r="E807" s="632"/>
      <c r="F807" s="632"/>
      <c r="G807" s="303"/>
      <c r="H807" s="307"/>
      <c r="N807" s="632"/>
      <c r="O807" s="632"/>
    </row>
    <row r="808" spans="1:15" s="150" customFormat="1" ht="12.75" hidden="1">
      <c r="A808" s="758"/>
      <c r="B808" s="177" t="s">
        <v>382</v>
      </c>
      <c r="C808" s="101" t="s">
        <v>350</v>
      </c>
      <c r="D808" s="776">
        <v>0</v>
      </c>
      <c r="E808" s="632"/>
      <c r="F808" s="632">
        <f aca="true" t="shared" si="15" ref="F808:F816">D808*E808</f>
        <v>0</v>
      </c>
      <c r="G808" s="303"/>
      <c r="H808" s="302"/>
      <c r="N808" s="632"/>
      <c r="O808" s="632"/>
    </row>
    <row r="809" spans="1:15" s="150" customFormat="1" ht="12.75" hidden="1">
      <c r="A809" s="758"/>
      <c r="B809" s="177" t="s">
        <v>383</v>
      </c>
      <c r="C809" s="101" t="s">
        <v>350</v>
      </c>
      <c r="D809" s="776">
        <v>0</v>
      </c>
      <c r="E809" s="632"/>
      <c r="F809" s="632">
        <f t="shared" si="15"/>
        <v>0</v>
      </c>
      <c r="G809" s="303"/>
      <c r="H809" s="302"/>
      <c r="J809" s="301"/>
      <c r="N809" s="632"/>
      <c r="O809" s="632"/>
    </row>
    <row r="810" spans="1:15" s="150" customFormat="1" ht="12.75" hidden="1">
      <c r="A810" s="758"/>
      <c r="B810" s="177" t="s">
        <v>384</v>
      </c>
      <c r="C810" s="101" t="s">
        <v>350</v>
      </c>
      <c r="D810" s="776">
        <v>0</v>
      </c>
      <c r="E810" s="632"/>
      <c r="F810" s="632">
        <f t="shared" si="15"/>
        <v>0</v>
      </c>
      <c r="G810" s="303"/>
      <c r="H810" s="302"/>
      <c r="N810" s="632"/>
      <c r="O810" s="632"/>
    </row>
    <row r="811" spans="1:15" s="150" customFormat="1" ht="12.75" hidden="1">
      <c r="A811" s="758"/>
      <c r="B811" s="177" t="s">
        <v>385</v>
      </c>
      <c r="C811" s="101" t="s">
        <v>350</v>
      </c>
      <c r="D811" s="776">
        <v>0</v>
      </c>
      <c r="E811" s="632"/>
      <c r="F811" s="632">
        <f t="shared" si="15"/>
        <v>0</v>
      </c>
      <c r="G811" s="303"/>
      <c r="H811" s="302"/>
      <c r="N811" s="632"/>
      <c r="O811" s="632"/>
    </row>
    <row r="812" spans="1:15" s="150" customFormat="1" ht="12.75" hidden="1">
      <c r="A812" s="758"/>
      <c r="B812" s="177" t="s">
        <v>386</v>
      </c>
      <c r="C812" s="101" t="s">
        <v>350</v>
      </c>
      <c r="D812" s="776">
        <v>0</v>
      </c>
      <c r="E812" s="632"/>
      <c r="F812" s="632">
        <f t="shared" si="15"/>
        <v>0</v>
      </c>
      <c r="G812" s="303"/>
      <c r="H812" s="302"/>
      <c r="N812" s="632"/>
      <c r="O812" s="632"/>
    </row>
    <row r="813" spans="1:15" s="150" customFormat="1" ht="12.75">
      <c r="A813" s="758"/>
      <c r="B813" s="787" t="s">
        <v>493</v>
      </c>
      <c r="C813" s="101" t="s">
        <v>350</v>
      </c>
      <c r="D813" s="776">
        <v>5</v>
      </c>
      <c r="E813" s="632"/>
      <c r="F813" s="632">
        <f t="shared" si="15"/>
        <v>0</v>
      </c>
      <c r="G813" s="303">
        <v>12</v>
      </c>
      <c r="H813" s="302"/>
      <c r="N813" s="643">
        <f>E813*1.2</f>
        <v>0</v>
      </c>
      <c r="O813" s="643">
        <f>N813*D813</f>
        <v>0</v>
      </c>
    </row>
    <row r="814" spans="1:15" s="150" customFormat="1" ht="25.5" hidden="1">
      <c r="A814" s="758"/>
      <c r="B814" s="787" t="s">
        <v>494</v>
      </c>
      <c r="C814" s="101" t="s">
        <v>350</v>
      </c>
      <c r="D814" s="776">
        <v>0</v>
      </c>
      <c r="E814" s="632"/>
      <c r="F814" s="632">
        <f t="shared" si="15"/>
        <v>0</v>
      </c>
      <c r="G814" s="303">
        <v>15</v>
      </c>
      <c r="H814" s="302"/>
      <c r="N814" s="632"/>
      <c r="O814" s="632"/>
    </row>
    <row r="815" spans="1:15" s="150" customFormat="1" ht="12.75">
      <c r="A815" s="758"/>
      <c r="B815" s="787" t="s">
        <v>495</v>
      </c>
      <c r="C815" s="101" t="s">
        <v>350</v>
      </c>
      <c r="D815" s="776">
        <f>0.45+3.4+5.3+2.9+3.6+0.9+1.82+0.8+1.5+2.05+1.4+1.9+0.85+0.35+0.9+0.35+0.28+0.28+0.5</f>
        <v>29.530000000000005</v>
      </c>
      <c r="E815" s="632"/>
      <c r="F815" s="632">
        <f t="shared" si="15"/>
        <v>0</v>
      </c>
      <c r="G815" s="303">
        <v>20</v>
      </c>
      <c r="H815" s="302"/>
      <c r="N815" s="643">
        <f>E815*1.2</f>
        <v>0</v>
      </c>
      <c r="O815" s="643">
        <f>N815*D815</f>
        <v>0</v>
      </c>
    </row>
    <row r="816" spans="1:15" s="150" customFormat="1" ht="25.5" hidden="1">
      <c r="A816" s="758"/>
      <c r="B816" s="787" t="s">
        <v>496</v>
      </c>
      <c r="C816" s="101" t="s">
        <v>350</v>
      </c>
      <c r="D816" s="776">
        <v>0</v>
      </c>
      <c r="E816" s="632"/>
      <c r="F816" s="632">
        <f t="shared" si="15"/>
        <v>0</v>
      </c>
      <c r="G816" s="303">
        <v>30</v>
      </c>
      <c r="H816" s="302"/>
      <c r="N816" s="632"/>
      <c r="O816" s="632"/>
    </row>
    <row r="817" spans="1:15" s="150" customFormat="1" ht="12.75">
      <c r="A817" s="758"/>
      <c r="B817" s="177"/>
      <c r="C817" s="101"/>
      <c r="D817" s="776"/>
      <c r="E817" s="632"/>
      <c r="F817" s="632"/>
      <c r="G817" s="303"/>
      <c r="H817" s="302"/>
      <c r="N817" s="632"/>
      <c r="O817" s="632"/>
    </row>
    <row r="818" spans="1:15" s="150" customFormat="1" ht="38.25">
      <c r="A818" s="755">
        <v>15</v>
      </c>
      <c r="B818" s="775" t="s">
        <v>497</v>
      </c>
      <c r="C818" s="101"/>
      <c r="D818" s="776"/>
      <c r="E818" s="632"/>
      <c r="F818" s="632"/>
      <c r="G818" s="303"/>
      <c r="H818" s="302"/>
      <c r="N818" s="632"/>
      <c r="O818" s="632"/>
    </row>
    <row r="819" spans="1:15" s="150" customFormat="1" ht="12.75" hidden="1">
      <c r="A819" s="755"/>
      <c r="B819" s="177" t="s">
        <v>498</v>
      </c>
      <c r="C819" s="101" t="s">
        <v>142</v>
      </c>
      <c r="D819" s="776">
        <v>0</v>
      </c>
      <c r="E819" s="89"/>
      <c r="F819" s="632">
        <f aca="true" t="shared" si="16" ref="F819:F828">D819*E819</f>
        <v>0</v>
      </c>
      <c r="G819" s="303">
        <v>5</v>
      </c>
      <c r="H819" s="302"/>
      <c r="N819" s="632"/>
      <c r="O819" s="632"/>
    </row>
    <row r="820" spans="1:15" s="150" customFormat="1" ht="12.75" customHeight="1" hidden="1">
      <c r="A820" s="758"/>
      <c r="B820" s="177" t="s">
        <v>499</v>
      </c>
      <c r="C820" s="101" t="s">
        <v>142</v>
      </c>
      <c r="D820" s="776">
        <v>0</v>
      </c>
      <c r="E820" s="89"/>
      <c r="F820" s="632">
        <f t="shared" si="16"/>
        <v>0</v>
      </c>
      <c r="G820" s="303">
        <v>6</v>
      </c>
      <c r="H820" s="302"/>
      <c r="N820" s="632"/>
      <c r="O820" s="632"/>
    </row>
    <row r="821" spans="1:15" s="150" customFormat="1" ht="12.75" customHeight="1" hidden="1">
      <c r="A821" s="758"/>
      <c r="B821" s="177" t="s">
        <v>500</v>
      </c>
      <c r="C821" s="101" t="s">
        <v>142</v>
      </c>
      <c r="D821" s="776">
        <v>0</v>
      </c>
      <c r="E821" s="89"/>
      <c r="F821" s="632">
        <f t="shared" si="16"/>
        <v>0</v>
      </c>
      <c r="G821" s="303">
        <v>7.5</v>
      </c>
      <c r="H821" s="302"/>
      <c r="N821" s="632"/>
      <c r="O821" s="632"/>
    </row>
    <row r="822" spans="1:15" s="150" customFormat="1" ht="12.75" customHeight="1" hidden="1">
      <c r="A822" s="758"/>
      <c r="B822" s="177" t="s">
        <v>501</v>
      </c>
      <c r="C822" s="101" t="s">
        <v>142</v>
      </c>
      <c r="D822" s="776">
        <v>0</v>
      </c>
      <c r="E822" s="89"/>
      <c r="F822" s="632">
        <f t="shared" si="16"/>
        <v>0</v>
      </c>
      <c r="G822" s="303">
        <v>12.5</v>
      </c>
      <c r="H822" s="302"/>
      <c r="N822" s="632"/>
      <c r="O822" s="632"/>
    </row>
    <row r="823" spans="1:15" s="150" customFormat="1" ht="12.75" customHeight="1" hidden="1">
      <c r="A823" s="758"/>
      <c r="B823" s="177" t="s">
        <v>502</v>
      </c>
      <c r="C823" s="101" t="s">
        <v>142</v>
      </c>
      <c r="D823" s="776">
        <v>0</v>
      </c>
      <c r="E823" s="89"/>
      <c r="F823" s="632">
        <f t="shared" si="16"/>
        <v>0</v>
      </c>
      <c r="G823" s="303">
        <v>15</v>
      </c>
      <c r="H823" s="302"/>
      <c r="N823" s="632"/>
      <c r="O823" s="632"/>
    </row>
    <row r="824" spans="1:15" s="150" customFormat="1" ht="12.75" customHeight="1" hidden="1">
      <c r="A824" s="758"/>
      <c r="B824" s="177" t="s">
        <v>503</v>
      </c>
      <c r="C824" s="101" t="s">
        <v>142</v>
      </c>
      <c r="D824" s="776">
        <v>0</v>
      </c>
      <c r="E824" s="89"/>
      <c r="F824" s="632">
        <f t="shared" si="16"/>
        <v>0</v>
      </c>
      <c r="G824" s="303">
        <v>20</v>
      </c>
      <c r="H824" s="302"/>
      <c r="N824" s="632"/>
      <c r="O824" s="632"/>
    </row>
    <row r="825" spans="1:15" s="150" customFormat="1" ht="12.75" customHeight="1" hidden="1">
      <c r="A825" s="758"/>
      <c r="B825" s="177" t="s">
        <v>504</v>
      </c>
      <c r="C825" s="101" t="s">
        <v>142</v>
      </c>
      <c r="D825" s="776">
        <v>0</v>
      </c>
      <c r="E825" s="89"/>
      <c r="F825" s="632">
        <f t="shared" si="16"/>
        <v>0</v>
      </c>
      <c r="G825" s="303">
        <v>25</v>
      </c>
      <c r="H825" s="302"/>
      <c r="N825" s="632"/>
      <c r="O825" s="632"/>
    </row>
    <row r="826" spans="1:15" s="150" customFormat="1" ht="12.75" customHeight="1">
      <c r="A826" s="758"/>
      <c r="B826" s="177" t="s">
        <v>505</v>
      </c>
      <c r="C826" s="101" t="s">
        <v>142</v>
      </c>
      <c r="D826" s="776">
        <v>5</v>
      </c>
      <c r="E826" s="89"/>
      <c r="F826" s="632">
        <f t="shared" si="16"/>
        <v>0</v>
      </c>
      <c r="G826" s="303">
        <v>50</v>
      </c>
      <c r="H826" s="302"/>
      <c r="N826" s="643">
        <f>E826*1.2</f>
        <v>0</v>
      </c>
      <c r="O826" s="643">
        <f>N826*D826</f>
        <v>0</v>
      </c>
    </row>
    <row r="827" spans="1:15" s="150" customFormat="1" ht="12.75" customHeight="1">
      <c r="A827" s="758"/>
      <c r="B827" s="177" t="s">
        <v>506</v>
      </c>
      <c r="C827" s="101" t="s">
        <v>142</v>
      </c>
      <c r="D827" s="776">
        <v>3</v>
      </c>
      <c r="E827" s="89"/>
      <c r="F827" s="632">
        <f t="shared" si="16"/>
        <v>0</v>
      </c>
      <c r="G827" s="303">
        <v>75</v>
      </c>
      <c r="H827" s="302"/>
      <c r="N827" s="643">
        <f>E827*1.2</f>
        <v>0</v>
      </c>
      <c r="O827" s="643">
        <f>N827*D827</f>
        <v>0</v>
      </c>
    </row>
    <row r="828" spans="1:15" s="150" customFormat="1" ht="12.75" customHeight="1" hidden="1">
      <c r="A828" s="758"/>
      <c r="B828" s="177" t="s">
        <v>507</v>
      </c>
      <c r="C828" s="101" t="s">
        <v>142</v>
      </c>
      <c r="D828" s="776">
        <v>0</v>
      </c>
      <c r="E828" s="89"/>
      <c r="F828" s="632">
        <f t="shared" si="16"/>
        <v>0</v>
      </c>
      <c r="G828" s="303">
        <v>90</v>
      </c>
      <c r="H828" s="302"/>
      <c r="N828" s="632"/>
      <c r="O828" s="632"/>
    </row>
    <row r="829" spans="1:15" s="150" customFormat="1" ht="12.75">
      <c r="A829" s="758"/>
      <c r="B829" s="177"/>
      <c r="C829" s="101"/>
      <c r="D829" s="776"/>
      <c r="E829" s="632"/>
      <c r="F829" s="632"/>
      <c r="G829" s="303"/>
      <c r="H829" s="302"/>
      <c r="N829" s="632"/>
      <c r="O829" s="632"/>
    </row>
    <row r="830" spans="1:15" s="150" customFormat="1" ht="51">
      <c r="A830" s="755">
        <v>16</v>
      </c>
      <c r="B830" s="711" t="s">
        <v>508</v>
      </c>
      <c r="C830" s="101"/>
      <c r="D830" s="776"/>
      <c r="E830" s="632"/>
      <c r="F830" s="632"/>
      <c r="G830" s="303"/>
      <c r="H830" s="302"/>
      <c r="N830" s="632"/>
      <c r="O830" s="632"/>
    </row>
    <row r="831" spans="1:15" s="150" customFormat="1" ht="12.75" customHeight="1">
      <c r="A831" s="758"/>
      <c r="B831" s="177" t="s">
        <v>509</v>
      </c>
      <c r="C831" s="101" t="s">
        <v>350</v>
      </c>
      <c r="D831" s="776">
        <f>D813</f>
        <v>5</v>
      </c>
      <c r="E831" s="632"/>
      <c r="F831" s="632">
        <f>D831*E831</f>
        <v>0</v>
      </c>
      <c r="G831" s="303">
        <v>1</v>
      </c>
      <c r="H831" s="302"/>
      <c r="N831" s="643">
        <f>E831*1.2</f>
        <v>0</v>
      </c>
      <c r="O831" s="643">
        <f>N831*D831</f>
        <v>0</v>
      </c>
    </row>
    <row r="832" spans="1:15" s="150" customFormat="1" ht="12.75" customHeight="1" hidden="1">
      <c r="A832" s="758"/>
      <c r="B832" s="177" t="s">
        <v>510</v>
      </c>
      <c r="C832" s="101" t="s">
        <v>350</v>
      </c>
      <c r="D832" s="776">
        <f>D814</f>
        <v>0</v>
      </c>
      <c r="E832" s="632"/>
      <c r="F832" s="632">
        <f>D832*E832</f>
        <v>0</v>
      </c>
      <c r="G832" s="303">
        <v>2.2</v>
      </c>
      <c r="H832" s="302"/>
      <c r="N832" s="632"/>
      <c r="O832" s="632"/>
    </row>
    <row r="833" spans="1:15" s="150" customFormat="1" ht="12.75" customHeight="1">
      <c r="A833" s="758"/>
      <c r="B833" s="177" t="s">
        <v>511</v>
      </c>
      <c r="C833" s="101" t="s">
        <v>350</v>
      </c>
      <c r="D833" s="776">
        <f>D815</f>
        <v>29.530000000000005</v>
      </c>
      <c r="E833" s="632"/>
      <c r="F833" s="632">
        <f>D833*E833</f>
        <v>0</v>
      </c>
      <c r="G833" s="303">
        <v>3</v>
      </c>
      <c r="H833" s="302"/>
      <c r="N833" s="643">
        <f>E833*1.2</f>
        <v>0</v>
      </c>
      <c r="O833" s="643">
        <f>N833*D833</f>
        <v>0</v>
      </c>
    </row>
    <row r="834" spans="1:15" s="150" customFormat="1" ht="12.75" customHeight="1" hidden="1">
      <c r="A834" s="758"/>
      <c r="B834" s="177" t="s">
        <v>512</v>
      </c>
      <c r="C834" s="101" t="s">
        <v>350</v>
      </c>
      <c r="D834" s="776">
        <f>D816</f>
        <v>0</v>
      </c>
      <c r="E834" s="632"/>
      <c r="F834" s="632">
        <f>D834*E834</f>
        <v>0</v>
      </c>
      <c r="G834" s="303">
        <v>4.2</v>
      </c>
      <c r="H834" s="302"/>
      <c r="N834" s="632"/>
      <c r="O834" s="632"/>
    </row>
    <row r="835" spans="1:15" s="150" customFormat="1" ht="12.75" customHeight="1">
      <c r="A835" s="758"/>
      <c r="B835" s="177"/>
      <c r="C835" s="101"/>
      <c r="D835" s="788"/>
      <c r="E835" s="632"/>
      <c r="F835" s="632"/>
      <c r="G835" s="303"/>
      <c r="H835" s="302"/>
      <c r="N835" s="632"/>
      <c r="O835" s="632"/>
    </row>
    <row r="836" spans="1:15" s="150" customFormat="1" ht="127.5">
      <c r="A836" s="755">
        <v>16</v>
      </c>
      <c r="B836" s="684" t="s">
        <v>513</v>
      </c>
      <c r="C836" s="789" t="s">
        <v>350</v>
      </c>
      <c r="D836" s="790">
        <f>SUM(D808:D816)</f>
        <v>34.53</v>
      </c>
      <c r="E836" s="632"/>
      <c r="F836" s="791">
        <f>D836*E836</f>
        <v>0</v>
      </c>
      <c r="G836" s="311">
        <v>5.5</v>
      </c>
      <c r="H836" s="302"/>
      <c r="N836" s="643">
        <f>E836*1.2</f>
        <v>0</v>
      </c>
      <c r="O836" s="643">
        <f>N836*D836</f>
        <v>0</v>
      </c>
    </row>
    <row r="837" spans="1:15" s="150" customFormat="1" ht="12.75" hidden="1">
      <c r="A837" s="758"/>
      <c r="B837" s="778"/>
      <c r="C837" s="101"/>
      <c r="D837" s="776"/>
      <c r="E837" s="632"/>
      <c r="F837" s="632"/>
      <c r="G837" s="303"/>
      <c r="H837" s="302"/>
      <c r="N837" s="632"/>
      <c r="O837" s="632"/>
    </row>
    <row r="838" spans="1:15" s="150" customFormat="1" ht="63.75" hidden="1">
      <c r="A838" s="755">
        <v>19</v>
      </c>
      <c r="B838" s="775" t="s">
        <v>514</v>
      </c>
      <c r="C838" s="783"/>
      <c r="D838" s="776"/>
      <c r="E838" s="632"/>
      <c r="F838" s="632"/>
      <c r="G838" s="303"/>
      <c r="H838" s="302"/>
      <c r="N838" s="632"/>
      <c r="O838" s="632"/>
    </row>
    <row r="839" spans="1:15" s="150" customFormat="1" ht="12.75" hidden="1">
      <c r="A839" s="758"/>
      <c r="B839" s="177" t="s">
        <v>515</v>
      </c>
      <c r="C839" s="101" t="s">
        <v>142</v>
      </c>
      <c r="D839" s="776">
        <v>0</v>
      </c>
      <c r="E839" s="632"/>
      <c r="F839" s="632">
        <f>D839*E839</f>
        <v>0</v>
      </c>
      <c r="G839" s="303"/>
      <c r="H839" s="302"/>
      <c r="N839" s="632"/>
      <c r="O839" s="632"/>
    </row>
    <row r="840" spans="1:15" s="150" customFormat="1" ht="12.75" hidden="1">
      <c r="A840" s="758"/>
      <c r="B840" s="177" t="s">
        <v>516</v>
      </c>
      <c r="C840" s="101" t="s">
        <v>142</v>
      </c>
      <c r="D840" s="776">
        <v>0</v>
      </c>
      <c r="E840" s="632"/>
      <c r="F840" s="632">
        <f>D840*E840</f>
        <v>0</v>
      </c>
      <c r="G840" s="303"/>
      <c r="H840" s="302"/>
      <c r="N840" s="632"/>
      <c r="O840" s="632"/>
    </row>
    <row r="841" spans="1:15" s="150" customFormat="1" ht="12.75" hidden="1">
      <c r="A841" s="758"/>
      <c r="B841" s="177" t="s">
        <v>517</v>
      </c>
      <c r="C841" s="101" t="s">
        <v>142</v>
      </c>
      <c r="D841" s="776">
        <v>0</v>
      </c>
      <c r="E841" s="632"/>
      <c r="F841" s="632">
        <f>D841*E841</f>
        <v>0</v>
      </c>
      <c r="G841" s="303"/>
      <c r="H841" s="302"/>
      <c r="N841" s="632"/>
      <c r="O841" s="632"/>
    </row>
    <row r="842" spans="1:15" s="150" customFormat="1" ht="12.75">
      <c r="A842" s="758"/>
      <c r="B842" s="177"/>
      <c r="C842" s="101"/>
      <c r="D842" s="776"/>
      <c r="E842" s="632"/>
      <c r="F842" s="632"/>
      <c r="G842" s="303"/>
      <c r="H842" s="302"/>
      <c r="N842" s="632"/>
      <c r="O842" s="632"/>
    </row>
    <row r="843" spans="1:15" s="150" customFormat="1" ht="204">
      <c r="A843" s="755">
        <v>17</v>
      </c>
      <c r="B843" s="711" t="s">
        <v>518</v>
      </c>
      <c r="C843" s="177"/>
      <c r="D843" s="776"/>
      <c r="E843" s="632"/>
      <c r="F843" s="632"/>
      <c r="G843" s="303"/>
      <c r="H843" s="302"/>
      <c r="N843" s="632"/>
      <c r="O843" s="632"/>
    </row>
    <row r="844" spans="1:15" s="150" customFormat="1" ht="12.75" hidden="1">
      <c r="A844" s="755"/>
      <c r="B844" s="775" t="s">
        <v>519</v>
      </c>
      <c r="C844" s="101" t="s">
        <v>142</v>
      </c>
      <c r="D844" s="776">
        <v>0</v>
      </c>
      <c r="E844" s="632"/>
      <c r="F844" s="632">
        <f>D844*E844</f>
        <v>0</v>
      </c>
      <c r="G844" s="303">
        <v>100</v>
      </c>
      <c r="H844" s="302"/>
      <c r="N844" s="632"/>
      <c r="O844" s="632"/>
    </row>
    <row r="845" spans="1:15" s="150" customFormat="1" ht="12.75">
      <c r="A845" s="755"/>
      <c r="B845" s="775" t="s">
        <v>520</v>
      </c>
      <c r="C845" s="101" t="s">
        <v>142</v>
      </c>
      <c r="D845" s="776">
        <v>3</v>
      </c>
      <c r="E845" s="632"/>
      <c r="F845" s="632">
        <f>D845*E845</f>
        <v>0</v>
      </c>
      <c r="G845" s="303">
        <v>100</v>
      </c>
      <c r="H845" s="302"/>
      <c r="N845" s="643">
        <f>E845*1.2</f>
        <v>0</v>
      </c>
      <c r="O845" s="643">
        <f>N845*D845</f>
        <v>0</v>
      </c>
    </row>
    <row r="846" spans="1:15" s="150" customFormat="1" ht="12.75" hidden="1">
      <c r="A846" s="755"/>
      <c r="B846" s="792"/>
      <c r="C846" s="101"/>
      <c r="D846" s="776"/>
      <c r="E846" s="89"/>
      <c r="F846" s="632"/>
      <c r="G846" s="303"/>
      <c r="H846" s="302"/>
      <c r="N846" s="632"/>
      <c r="O846" s="632"/>
    </row>
    <row r="847" spans="1:15" s="150" customFormat="1" ht="191.25" hidden="1">
      <c r="A847" s="755">
        <v>14</v>
      </c>
      <c r="B847" s="711" t="s">
        <v>521</v>
      </c>
      <c r="C847" s="177"/>
      <c r="D847" s="776"/>
      <c r="E847" s="632"/>
      <c r="F847" s="632"/>
      <c r="G847" s="303"/>
      <c r="H847" s="302"/>
      <c r="N847" s="632"/>
      <c r="O847" s="632"/>
    </row>
    <row r="848" spans="1:15" s="150" customFormat="1" ht="12.75" hidden="1">
      <c r="A848" s="755"/>
      <c r="B848" s="775" t="s">
        <v>519</v>
      </c>
      <c r="C848" s="101" t="s">
        <v>142</v>
      </c>
      <c r="D848" s="776">
        <v>0</v>
      </c>
      <c r="E848" s="89"/>
      <c r="F848" s="632">
        <f>D848*E848</f>
        <v>0</v>
      </c>
      <c r="G848" s="303">
        <v>110</v>
      </c>
      <c r="H848" s="302"/>
      <c r="N848" s="632"/>
      <c r="O848" s="632"/>
    </row>
    <row r="849" spans="1:15" s="150" customFormat="1" ht="12.75" hidden="1">
      <c r="A849" s="755"/>
      <c r="B849" s="775" t="s">
        <v>520</v>
      </c>
      <c r="C849" s="101" t="s">
        <v>142</v>
      </c>
      <c r="D849" s="776">
        <v>0</v>
      </c>
      <c r="E849" s="89"/>
      <c r="F849" s="632">
        <f>D849*E849</f>
        <v>0</v>
      </c>
      <c r="G849" s="303">
        <v>110</v>
      </c>
      <c r="H849" s="302"/>
      <c r="N849" s="632"/>
      <c r="O849" s="632"/>
    </row>
    <row r="850" spans="1:15" s="150" customFormat="1" ht="12.75">
      <c r="A850" s="755"/>
      <c r="B850" s="792"/>
      <c r="C850" s="101"/>
      <c r="D850" s="776"/>
      <c r="E850" s="89"/>
      <c r="F850" s="632"/>
      <c r="G850" s="303"/>
      <c r="H850" s="302"/>
      <c r="N850" s="632"/>
      <c r="O850" s="632"/>
    </row>
    <row r="851" spans="1:15" s="300" customFormat="1" ht="89.25">
      <c r="A851" s="710" t="s">
        <v>522</v>
      </c>
      <c r="B851" s="793" t="s">
        <v>523</v>
      </c>
      <c r="C851" s="794" t="s">
        <v>47</v>
      </c>
      <c r="D851" s="776">
        <v>3</v>
      </c>
      <c r="E851" s="795"/>
      <c r="F851" s="795">
        <f>D851*E851</f>
        <v>0</v>
      </c>
      <c r="G851" s="312">
        <v>10</v>
      </c>
      <c r="N851" s="643">
        <f>E851*1.2</f>
        <v>0</v>
      </c>
      <c r="O851" s="643">
        <f>N851*D851</f>
        <v>0</v>
      </c>
    </row>
    <row r="852" spans="1:15" s="300" customFormat="1" ht="12.75" hidden="1">
      <c r="A852" s="710"/>
      <c r="B852" s="793"/>
      <c r="C852" s="794"/>
      <c r="D852" s="776"/>
      <c r="E852" s="795"/>
      <c r="F852" s="632"/>
      <c r="G852" s="312"/>
      <c r="N852" s="636"/>
      <c r="O852" s="636"/>
    </row>
    <row r="853" spans="1:15" s="150" customFormat="1" ht="63.75" hidden="1">
      <c r="A853" s="755">
        <v>20</v>
      </c>
      <c r="B853" s="775" t="s">
        <v>524</v>
      </c>
      <c r="C853" s="101"/>
      <c r="D853" s="776"/>
      <c r="E853" s="632"/>
      <c r="F853" s="632"/>
      <c r="G853" s="303"/>
      <c r="H853" s="302"/>
      <c r="N853" s="632"/>
      <c r="O853" s="632"/>
    </row>
    <row r="854" spans="1:15" s="150" customFormat="1" ht="12.75" customHeight="1" hidden="1">
      <c r="A854" s="758"/>
      <c r="B854" s="177" t="s">
        <v>525</v>
      </c>
      <c r="C854" s="101" t="s">
        <v>142</v>
      </c>
      <c r="D854" s="776">
        <v>0</v>
      </c>
      <c r="E854" s="632"/>
      <c r="F854" s="632">
        <f aca="true" t="shared" si="17" ref="F854:F861">D854*E854</f>
        <v>0</v>
      </c>
      <c r="G854" s="303"/>
      <c r="H854" s="302"/>
      <c r="N854" s="632"/>
      <c r="O854" s="632"/>
    </row>
    <row r="855" spans="1:15" s="150" customFormat="1" ht="12.75" customHeight="1" hidden="1">
      <c r="A855" s="758"/>
      <c r="B855" s="177" t="s">
        <v>526</v>
      </c>
      <c r="C855" s="101" t="s">
        <v>142</v>
      </c>
      <c r="D855" s="776">
        <v>0</v>
      </c>
      <c r="E855" s="632"/>
      <c r="F855" s="632">
        <f t="shared" si="17"/>
        <v>0</v>
      </c>
      <c r="G855" s="303"/>
      <c r="H855" s="302"/>
      <c r="N855" s="632"/>
      <c r="O855" s="632"/>
    </row>
    <row r="856" spans="1:15" s="150" customFormat="1" ht="12.75" customHeight="1" hidden="1">
      <c r="A856" s="758"/>
      <c r="B856" s="177" t="s">
        <v>527</v>
      </c>
      <c r="C856" s="101" t="s">
        <v>142</v>
      </c>
      <c r="D856" s="776">
        <v>0</v>
      </c>
      <c r="E856" s="632"/>
      <c r="F856" s="632">
        <f t="shared" si="17"/>
        <v>0</v>
      </c>
      <c r="G856" s="303"/>
      <c r="H856" s="302"/>
      <c r="N856" s="632"/>
      <c r="O856" s="632"/>
    </row>
    <row r="857" spans="1:15" s="150" customFormat="1" ht="12.75" customHeight="1" hidden="1">
      <c r="A857" s="758"/>
      <c r="B857" s="177" t="s">
        <v>528</v>
      </c>
      <c r="C857" s="101" t="s">
        <v>142</v>
      </c>
      <c r="D857" s="776">
        <v>0</v>
      </c>
      <c r="E857" s="632"/>
      <c r="F857" s="632">
        <f t="shared" si="17"/>
        <v>0</v>
      </c>
      <c r="G857" s="303"/>
      <c r="H857" s="302"/>
      <c r="N857" s="632"/>
      <c r="O857" s="632"/>
    </row>
    <row r="858" spans="1:15" s="150" customFormat="1" ht="12.75" customHeight="1" hidden="1">
      <c r="A858" s="758"/>
      <c r="B858" s="177" t="s">
        <v>529</v>
      </c>
      <c r="C858" s="101" t="s">
        <v>142</v>
      </c>
      <c r="D858" s="776">
        <v>0</v>
      </c>
      <c r="E858" s="632"/>
      <c r="F858" s="632">
        <f t="shared" si="17"/>
        <v>0</v>
      </c>
      <c r="G858" s="303"/>
      <c r="H858" s="302"/>
      <c r="N858" s="632"/>
      <c r="O858" s="632"/>
    </row>
    <row r="859" spans="1:15" s="150" customFormat="1" ht="12.75" customHeight="1" hidden="1">
      <c r="A859" s="758"/>
      <c r="B859" s="177" t="s">
        <v>530</v>
      </c>
      <c r="C859" s="101" t="s">
        <v>142</v>
      </c>
      <c r="D859" s="776">
        <v>0</v>
      </c>
      <c r="E859" s="632"/>
      <c r="F859" s="632">
        <f t="shared" si="17"/>
        <v>0</v>
      </c>
      <c r="G859" s="303"/>
      <c r="H859" s="302"/>
      <c r="N859" s="632"/>
      <c r="O859" s="632"/>
    </row>
    <row r="860" spans="1:15" s="150" customFormat="1" ht="12.75" customHeight="1" hidden="1">
      <c r="A860" s="758"/>
      <c r="B860" s="177" t="s">
        <v>531</v>
      </c>
      <c r="C860" s="101" t="s">
        <v>142</v>
      </c>
      <c r="D860" s="776">
        <v>0</v>
      </c>
      <c r="E860" s="632"/>
      <c r="F860" s="632">
        <f t="shared" si="17"/>
        <v>0</v>
      </c>
      <c r="G860" s="303"/>
      <c r="H860" s="302"/>
      <c r="N860" s="632"/>
      <c r="O860" s="632"/>
    </row>
    <row r="861" spans="1:15" s="150" customFormat="1" ht="12.75" customHeight="1" hidden="1">
      <c r="A861" s="758"/>
      <c r="B861" s="177" t="s">
        <v>532</v>
      </c>
      <c r="C861" s="101" t="s">
        <v>142</v>
      </c>
      <c r="D861" s="776">
        <v>0</v>
      </c>
      <c r="E861" s="632"/>
      <c r="F861" s="632">
        <f t="shared" si="17"/>
        <v>0</v>
      </c>
      <c r="G861" s="303"/>
      <c r="H861" s="302"/>
      <c r="N861" s="632"/>
      <c r="O861" s="632"/>
    </row>
    <row r="862" spans="1:15" s="150" customFormat="1" ht="12.75" customHeight="1">
      <c r="A862" s="758"/>
      <c r="B862" s="177"/>
      <c r="C862" s="101"/>
      <c r="D862" s="776"/>
      <c r="E862" s="632"/>
      <c r="F862" s="632"/>
      <c r="G862" s="303"/>
      <c r="H862" s="302"/>
      <c r="N862" s="632"/>
      <c r="O862" s="632"/>
    </row>
    <row r="863" spans="1:15" s="150" customFormat="1" ht="127.5" hidden="1">
      <c r="A863" s="755">
        <v>20</v>
      </c>
      <c r="B863" s="775" t="s">
        <v>533</v>
      </c>
      <c r="C863" s="101" t="s">
        <v>142</v>
      </c>
      <c r="D863" s="776">
        <v>0</v>
      </c>
      <c r="E863" s="632"/>
      <c r="F863" s="632">
        <f>D863*E863</f>
        <v>0</v>
      </c>
      <c r="G863" s="311"/>
      <c r="H863" s="302"/>
      <c r="N863" s="632"/>
      <c r="O863" s="632"/>
    </row>
    <row r="864" spans="1:15" s="150" customFormat="1" ht="12.75" customHeight="1" hidden="1">
      <c r="A864" s="758"/>
      <c r="B864" s="796"/>
      <c r="C864" s="101"/>
      <c r="D864" s="776"/>
      <c r="E864" s="632"/>
      <c r="F864" s="632"/>
      <c r="G864" s="303"/>
      <c r="H864" s="302"/>
      <c r="N864" s="632"/>
      <c r="O864" s="632"/>
    </row>
    <row r="865" spans="1:15" s="150" customFormat="1" ht="127.5">
      <c r="A865" s="755">
        <v>19</v>
      </c>
      <c r="B865" s="711" t="s">
        <v>534</v>
      </c>
      <c r="C865" s="101" t="s">
        <v>350</v>
      </c>
      <c r="D865" s="760">
        <f>SUM(D761:D775)+SUM(D808:D816)</f>
        <v>55.53</v>
      </c>
      <c r="E865" s="632"/>
      <c r="F865" s="632">
        <f>D865*E865</f>
        <v>0</v>
      </c>
      <c r="G865" s="311">
        <v>2.5</v>
      </c>
      <c r="H865" s="302"/>
      <c r="N865" s="643">
        <f>E865*1.2</f>
        <v>0</v>
      </c>
      <c r="O865" s="643">
        <f>N865*D865</f>
        <v>0</v>
      </c>
    </row>
    <row r="866" spans="1:15" s="150" customFormat="1" ht="12.75">
      <c r="A866" s="755"/>
      <c r="B866" s="775"/>
      <c r="C866" s="101"/>
      <c r="D866" s="776"/>
      <c r="E866" s="632"/>
      <c r="F866" s="632"/>
      <c r="G866" s="303"/>
      <c r="H866" s="302"/>
      <c r="N866" s="632"/>
      <c r="O866" s="632"/>
    </row>
    <row r="867" spans="1:15" s="150" customFormat="1" ht="63.75">
      <c r="A867" s="757" t="s">
        <v>535</v>
      </c>
      <c r="B867" s="797" t="s">
        <v>421</v>
      </c>
      <c r="C867" s="712" t="s">
        <v>350</v>
      </c>
      <c r="D867" s="760">
        <f>D865</f>
        <v>55.53</v>
      </c>
      <c r="E867" s="632"/>
      <c r="F867" s="632">
        <f>E867*D867</f>
        <v>0</v>
      </c>
      <c r="G867" s="311">
        <v>2.5</v>
      </c>
      <c r="H867" s="302"/>
      <c r="N867" s="643">
        <f>E867*1.2</f>
        <v>0</v>
      </c>
      <c r="O867" s="643">
        <f>N867*D867</f>
        <v>0</v>
      </c>
    </row>
    <row r="868" spans="1:15" s="150" customFormat="1" ht="12.75">
      <c r="A868" s="758"/>
      <c r="B868" s="778"/>
      <c r="C868" s="177"/>
      <c r="D868" s="776"/>
      <c r="E868" s="632"/>
      <c r="F868" s="632"/>
      <c r="G868" s="303"/>
      <c r="H868" s="302"/>
      <c r="N868" s="632"/>
      <c r="O868" s="632"/>
    </row>
    <row r="869" spans="1:15" ht="12.75">
      <c r="A869" s="819" t="s">
        <v>733</v>
      </c>
      <c r="B869" s="820" t="s">
        <v>536</v>
      </c>
      <c r="C869" s="821"/>
      <c r="D869" s="822"/>
      <c r="E869" s="823"/>
      <c r="F869" s="824">
        <f>SUM(F707:F868)</f>
        <v>0</v>
      </c>
      <c r="G869" s="825"/>
      <c r="H869" s="826"/>
      <c r="I869" s="827"/>
      <c r="J869" s="827"/>
      <c r="K869" s="827"/>
      <c r="L869" s="827"/>
      <c r="M869" s="827"/>
      <c r="N869" s="823"/>
      <c r="O869" s="828">
        <f>SUM(O707:O868)</f>
        <v>0</v>
      </c>
    </row>
    <row r="870" spans="1:15" ht="12.75">
      <c r="A870" s="8"/>
      <c r="B870" s="106"/>
      <c r="C870" s="61"/>
      <c r="D870" s="7"/>
      <c r="E870" s="74"/>
      <c r="F870" s="632"/>
      <c r="N870" s="89"/>
      <c r="O870" s="89"/>
    </row>
    <row r="871" spans="1:15" ht="12.75">
      <c r="A871" s="829" t="s">
        <v>734</v>
      </c>
      <c r="B871" s="830" t="s">
        <v>537</v>
      </c>
      <c r="C871" s="831"/>
      <c r="D871" s="832"/>
      <c r="E871" s="833"/>
      <c r="F871" s="833"/>
      <c r="G871" s="834"/>
      <c r="H871" s="835"/>
      <c r="I871" s="835"/>
      <c r="J871" s="835"/>
      <c r="K871" s="835"/>
      <c r="L871" s="835"/>
      <c r="M871" s="835"/>
      <c r="N871" s="836"/>
      <c r="O871" s="836"/>
    </row>
    <row r="872" spans="1:15" ht="12.75">
      <c r="A872" s="798"/>
      <c r="B872" s="744"/>
      <c r="C872" s="712"/>
      <c r="D872" s="776"/>
      <c r="E872" s="632"/>
      <c r="F872" s="632"/>
      <c r="G872" s="292"/>
      <c r="N872" s="633"/>
      <c r="O872" s="633"/>
    </row>
    <row r="873" spans="1:15" ht="54" customHeight="1">
      <c r="A873" s="745" t="s">
        <v>325</v>
      </c>
      <c r="B873" s="594" t="s">
        <v>538</v>
      </c>
      <c r="C873" s="698"/>
      <c r="D873" s="799"/>
      <c r="E873" s="89"/>
      <c r="F873" s="89"/>
      <c r="G873" s="292"/>
      <c r="N873" s="633"/>
      <c r="O873" s="633"/>
    </row>
    <row r="874" spans="1:15" ht="12.75">
      <c r="A874" s="800"/>
      <c r="B874" s="751" t="s">
        <v>539</v>
      </c>
      <c r="C874" s="752" t="s">
        <v>142</v>
      </c>
      <c r="D874" s="776">
        <v>1</v>
      </c>
      <c r="E874" s="89"/>
      <c r="F874" s="636">
        <f>D874*E874</f>
        <v>0</v>
      </c>
      <c r="G874" s="292">
        <v>145</v>
      </c>
      <c r="N874" s="633">
        <f>E874*1.2</f>
        <v>0</v>
      </c>
      <c r="O874" s="633">
        <f>N874*D874</f>
        <v>0</v>
      </c>
    </row>
    <row r="875" spans="1:15" ht="12.75">
      <c r="A875" s="800"/>
      <c r="B875" s="125" t="s">
        <v>540</v>
      </c>
      <c r="C875" s="698" t="s">
        <v>350</v>
      </c>
      <c r="D875" s="799">
        <v>25</v>
      </c>
      <c r="E875" s="89"/>
      <c r="F875" s="89">
        <f>D875*E875</f>
        <v>0</v>
      </c>
      <c r="G875" s="296">
        <v>20</v>
      </c>
      <c r="N875" s="633">
        <f>E875*1.2</f>
        <v>0</v>
      </c>
      <c r="O875" s="633">
        <f>N875*D875</f>
        <v>0</v>
      </c>
    </row>
    <row r="876" spans="1:15" ht="12.75">
      <c r="A876" s="800"/>
      <c r="B876" s="751"/>
      <c r="C876" s="752"/>
      <c r="D876" s="776"/>
      <c r="E876" s="632"/>
      <c r="F876" s="636"/>
      <c r="G876" s="292"/>
      <c r="N876" s="633"/>
      <c r="O876" s="633"/>
    </row>
    <row r="877" spans="1:15" ht="114.75">
      <c r="A877" s="745" t="s">
        <v>541</v>
      </c>
      <c r="B877" s="693" t="s">
        <v>542</v>
      </c>
      <c r="C877" s="698"/>
      <c r="D877" s="799"/>
      <c r="E877" s="89"/>
      <c r="F877" s="89" t="s">
        <v>179</v>
      </c>
      <c r="G877" s="292"/>
      <c r="N877" s="633"/>
      <c r="O877" s="633"/>
    </row>
    <row r="878" spans="1:15" ht="12.75" hidden="1">
      <c r="A878" s="745"/>
      <c r="B878" s="125" t="s">
        <v>543</v>
      </c>
      <c r="C878" s="698" t="s">
        <v>350</v>
      </c>
      <c r="D878" s="799">
        <v>0</v>
      </c>
      <c r="E878" s="89"/>
      <c r="F878" s="89">
        <f aca="true" t="shared" si="18" ref="F878:F887">D878*E878</f>
        <v>0</v>
      </c>
      <c r="G878" s="296">
        <v>3</v>
      </c>
      <c r="N878" s="633"/>
      <c r="O878" s="633"/>
    </row>
    <row r="879" spans="1:15" ht="12.75" hidden="1">
      <c r="A879" s="745"/>
      <c r="B879" s="125" t="s">
        <v>544</v>
      </c>
      <c r="C879" s="698" t="s">
        <v>350</v>
      </c>
      <c r="D879" s="799">
        <v>0</v>
      </c>
      <c r="E879" s="89"/>
      <c r="F879" s="89">
        <f t="shared" si="18"/>
        <v>0</v>
      </c>
      <c r="G879" s="296">
        <v>4</v>
      </c>
      <c r="N879" s="633"/>
      <c r="O879" s="633"/>
    </row>
    <row r="880" spans="1:15" ht="12.75" hidden="1">
      <c r="A880" s="800"/>
      <c r="B880" s="125" t="s">
        <v>545</v>
      </c>
      <c r="C880" s="698" t="s">
        <v>350</v>
      </c>
      <c r="D880" s="799">
        <v>0</v>
      </c>
      <c r="E880" s="89"/>
      <c r="F880" s="89">
        <f t="shared" si="18"/>
        <v>0</v>
      </c>
      <c r="G880" s="296">
        <v>5</v>
      </c>
      <c r="N880" s="633"/>
      <c r="O880" s="633"/>
    </row>
    <row r="881" spans="1:15" ht="12.75" hidden="1">
      <c r="A881" s="800"/>
      <c r="B881" s="125" t="s">
        <v>546</v>
      </c>
      <c r="C881" s="698" t="s">
        <v>350</v>
      </c>
      <c r="D881" s="799">
        <v>0</v>
      </c>
      <c r="E881" s="89"/>
      <c r="F881" s="89">
        <f t="shared" si="18"/>
        <v>0</v>
      </c>
      <c r="G881" s="296">
        <v>7.5</v>
      </c>
      <c r="N881" s="633"/>
      <c r="O881" s="633"/>
    </row>
    <row r="882" spans="1:15" s="295" customFormat="1" ht="12.75">
      <c r="A882" s="749"/>
      <c r="B882" s="125" t="s">
        <v>547</v>
      </c>
      <c r="C882" s="698" t="s">
        <v>350</v>
      </c>
      <c r="D882" s="776">
        <f>9.55+3.05+5.15+3.02</f>
        <v>20.77</v>
      </c>
      <c r="E882" s="89"/>
      <c r="F882" s="89">
        <f t="shared" si="18"/>
        <v>0</v>
      </c>
      <c r="G882" s="296">
        <v>10</v>
      </c>
      <c r="N882" s="633">
        <f>E882*1.2</f>
        <v>0</v>
      </c>
      <c r="O882" s="633">
        <f>N882*D882</f>
        <v>0</v>
      </c>
    </row>
    <row r="883" spans="1:15" s="295" customFormat="1" ht="12.75" hidden="1">
      <c r="A883" s="749"/>
      <c r="B883" s="125" t="s">
        <v>548</v>
      </c>
      <c r="C883" s="698" t="s">
        <v>350</v>
      </c>
      <c r="D883" s="799">
        <v>0</v>
      </c>
      <c r="E883" s="89"/>
      <c r="F883" s="89">
        <f t="shared" si="18"/>
        <v>0</v>
      </c>
      <c r="G883" s="296">
        <v>12.5</v>
      </c>
      <c r="N883" s="634"/>
      <c r="O883" s="634"/>
    </row>
    <row r="884" spans="1:15" ht="12.75" hidden="1">
      <c r="A884" s="745"/>
      <c r="B884" s="125" t="s">
        <v>549</v>
      </c>
      <c r="C884" s="698" t="s">
        <v>350</v>
      </c>
      <c r="D884" s="799">
        <v>0</v>
      </c>
      <c r="E884" s="89"/>
      <c r="F884" s="89">
        <f t="shared" si="18"/>
        <v>0</v>
      </c>
      <c r="G884" s="296">
        <v>20</v>
      </c>
      <c r="N884" s="633"/>
      <c r="O884" s="633"/>
    </row>
    <row r="885" spans="1:15" ht="12.75" hidden="1">
      <c r="A885" s="745"/>
      <c r="B885" s="125" t="s">
        <v>550</v>
      </c>
      <c r="C885" s="698" t="s">
        <v>350</v>
      </c>
      <c r="D885" s="799">
        <v>0</v>
      </c>
      <c r="E885" s="89"/>
      <c r="F885" s="89">
        <f t="shared" si="18"/>
        <v>0</v>
      </c>
      <c r="G885" s="296">
        <v>30</v>
      </c>
      <c r="N885" s="633"/>
      <c r="O885" s="633"/>
    </row>
    <row r="886" spans="1:15" ht="12.75" hidden="1">
      <c r="A886" s="745"/>
      <c r="B886" s="125" t="s">
        <v>551</v>
      </c>
      <c r="C886" s="698" t="s">
        <v>350</v>
      </c>
      <c r="D886" s="799">
        <v>0</v>
      </c>
      <c r="E886" s="89"/>
      <c r="F886" s="89">
        <f t="shared" si="18"/>
        <v>0</v>
      </c>
      <c r="G886" s="296">
        <v>60</v>
      </c>
      <c r="N886" s="633"/>
      <c r="O886" s="633"/>
    </row>
    <row r="887" spans="1:15" ht="12.75" hidden="1">
      <c r="A887" s="745"/>
      <c r="B887" s="125" t="s">
        <v>552</v>
      </c>
      <c r="C887" s="698" t="s">
        <v>350</v>
      </c>
      <c r="D887" s="799">
        <v>0</v>
      </c>
      <c r="E887" s="89"/>
      <c r="F887" s="89">
        <f t="shared" si="18"/>
        <v>0</v>
      </c>
      <c r="G887" s="296">
        <v>90</v>
      </c>
      <c r="N887" s="633"/>
      <c r="O887" s="633"/>
    </row>
    <row r="888" spans="1:15" ht="12.75">
      <c r="A888" s="800"/>
      <c r="B888" s="125"/>
      <c r="C888" s="698"/>
      <c r="D888" s="799"/>
      <c r="E888" s="89"/>
      <c r="F888" s="89"/>
      <c r="G888" s="292"/>
      <c r="N888" s="633"/>
      <c r="O888" s="633"/>
    </row>
    <row r="889" spans="1:15" ht="114.75">
      <c r="A889" s="757" t="s">
        <v>553</v>
      </c>
      <c r="B889" s="715" t="s">
        <v>554</v>
      </c>
      <c r="C889" s="794"/>
      <c r="D889" s="776"/>
      <c r="E889" s="795"/>
      <c r="F889" s="801"/>
      <c r="G889" s="292"/>
      <c r="N889" s="633"/>
      <c r="O889" s="633"/>
    </row>
    <row r="890" spans="1:15" ht="12.75">
      <c r="A890" s="757"/>
      <c r="B890" s="802" t="s">
        <v>543</v>
      </c>
      <c r="C890" s="803" t="s">
        <v>350</v>
      </c>
      <c r="D890" s="799">
        <f>0.45+0.5+0.45+0.27+0.73+1.12+0.35+0.2+0.5+0.5+0.5+0.73+0.35+0.5+0.36+0.36+0.26+0.94+0.73</f>
        <v>9.8</v>
      </c>
      <c r="E890" s="89"/>
      <c r="F890" s="801">
        <f aca="true" t="shared" si="19" ref="F890:F896">D890*E890</f>
        <v>0</v>
      </c>
      <c r="G890" s="292">
        <v>3</v>
      </c>
      <c r="H890" s="314" t="s">
        <v>555</v>
      </c>
      <c r="N890" s="633">
        <f>E890*1.2</f>
        <v>0</v>
      </c>
      <c r="O890" s="633">
        <f>N890*D890</f>
        <v>0</v>
      </c>
    </row>
    <row r="891" spans="1:15" ht="12.75">
      <c r="A891" s="757"/>
      <c r="B891" s="802" t="s">
        <v>544</v>
      </c>
      <c r="C891" s="803" t="s">
        <v>350</v>
      </c>
      <c r="D891" s="799">
        <f>0.37+0.39+1.1+0.5+0.5+0.43+0.3+0.5+0.67+1.79+0.15</f>
        <v>6.7</v>
      </c>
      <c r="E891" s="89"/>
      <c r="F891" s="801">
        <f t="shared" si="19"/>
        <v>0</v>
      </c>
      <c r="G891" s="292">
        <v>4</v>
      </c>
      <c r="N891" s="633">
        <f>E891*1.2</f>
        <v>0</v>
      </c>
      <c r="O891" s="633">
        <f>N891*D891</f>
        <v>0</v>
      </c>
    </row>
    <row r="892" spans="1:15" ht="12.75">
      <c r="A892" s="757"/>
      <c r="B892" s="802" t="s">
        <v>545</v>
      </c>
      <c r="C892" s="803" t="s">
        <v>350</v>
      </c>
      <c r="D892" s="799">
        <f>1.25+0.3+1.3+0.64+0.99+0.43+0.94+4.68+0.39+14.4</f>
        <v>25.32</v>
      </c>
      <c r="E892" s="89"/>
      <c r="F892" s="801">
        <f t="shared" si="19"/>
        <v>0</v>
      </c>
      <c r="G892" s="292">
        <v>6</v>
      </c>
      <c r="N892" s="633">
        <f>E892*1.2</f>
        <v>0</v>
      </c>
      <c r="O892" s="633">
        <f>N892*D892</f>
        <v>0</v>
      </c>
    </row>
    <row r="893" spans="1:15" ht="12.75" hidden="1">
      <c r="A893" s="757"/>
      <c r="B893" s="802" t="s">
        <v>546</v>
      </c>
      <c r="C893" s="803" t="s">
        <v>350</v>
      </c>
      <c r="D893" s="759">
        <v>0</v>
      </c>
      <c r="E893" s="89"/>
      <c r="F893" s="801">
        <f t="shared" si="19"/>
        <v>0</v>
      </c>
      <c r="G893" s="292">
        <v>8</v>
      </c>
      <c r="N893" s="633"/>
      <c r="O893" s="633"/>
    </row>
    <row r="894" spans="1:15" ht="12.75" hidden="1">
      <c r="A894" s="757"/>
      <c r="B894" s="802" t="s">
        <v>547</v>
      </c>
      <c r="C894" s="803" t="s">
        <v>350</v>
      </c>
      <c r="D894" s="776">
        <v>0</v>
      </c>
      <c r="E894" s="89"/>
      <c r="F894" s="801">
        <f t="shared" si="19"/>
        <v>0</v>
      </c>
      <c r="G894" s="292">
        <v>10</v>
      </c>
      <c r="H894" s="304"/>
      <c r="N894" s="633"/>
      <c r="O894" s="633"/>
    </row>
    <row r="895" spans="1:15" ht="12.75" hidden="1">
      <c r="A895" s="757"/>
      <c r="B895" s="802" t="s">
        <v>548</v>
      </c>
      <c r="C895" s="803" t="s">
        <v>350</v>
      </c>
      <c r="D895" s="776">
        <v>0</v>
      </c>
      <c r="E895" s="89"/>
      <c r="F895" s="801">
        <f t="shared" si="19"/>
        <v>0</v>
      </c>
      <c r="G895" s="292">
        <v>12.5</v>
      </c>
      <c r="H895" s="304"/>
      <c r="N895" s="633"/>
      <c r="O895" s="633"/>
    </row>
    <row r="896" spans="1:15" ht="12.75" hidden="1">
      <c r="A896" s="757"/>
      <c r="B896" s="802" t="s">
        <v>549</v>
      </c>
      <c r="C896" s="803" t="s">
        <v>350</v>
      </c>
      <c r="D896" s="776">
        <v>0</v>
      </c>
      <c r="E896" s="89"/>
      <c r="F896" s="801">
        <f t="shared" si="19"/>
        <v>0</v>
      </c>
      <c r="G896" s="292">
        <v>20</v>
      </c>
      <c r="H896" s="304"/>
      <c r="N896" s="633"/>
      <c r="O896" s="633"/>
    </row>
    <row r="897" spans="1:15" ht="12.75" hidden="1">
      <c r="A897" s="757"/>
      <c r="B897" s="802"/>
      <c r="C897" s="794"/>
      <c r="D897" s="776"/>
      <c r="E897" s="795"/>
      <c r="F897" s="801"/>
      <c r="G897" s="292"/>
      <c r="N897" s="633"/>
      <c r="O897" s="633"/>
    </row>
    <row r="898" spans="1:15" ht="51" hidden="1">
      <c r="A898" s="745" t="s">
        <v>556</v>
      </c>
      <c r="B898" s="804" t="s">
        <v>557</v>
      </c>
      <c r="C898" s="803"/>
      <c r="D898" s="799" t="s">
        <v>179</v>
      </c>
      <c r="E898" s="801"/>
      <c r="F898" s="801"/>
      <c r="G898" s="292"/>
      <c r="N898" s="633"/>
      <c r="O898" s="633"/>
    </row>
    <row r="899" spans="1:15" ht="12.75" hidden="1">
      <c r="A899" s="800"/>
      <c r="B899" s="805" t="s">
        <v>558</v>
      </c>
      <c r="C899" s="803" t="s">
        <v>142</v>
      </c>
      <c r="D899" s="799">
        <v>0</v>
      </c>
      <c r="E899" s="801"/>
      <c r="F899" s="801">
        <f>D899*E899</f>
        <v>0</v>
      </c>
      <c r="G899" s="292"/>
      <c r="N899" s="633"/>
      <c r="O899" s="633"/>
    </row>
    <row r="900" spans="1:15" ht="12.75">
      <c r="A900" s="800"/>
      <c r="B900" s="805"/>
      <c r="C900" s="803"/>
      <c r="D900" s="799"/>
      <c r="E900" s="801"/>
      <c r="F900" s="801"/>
      <c r="G900" s="292"/>
      <c r="N900" s="633"/>
      <c r="O900" s="633"/>
    </row>
    <row r="901" spans="1:15" ht="51">
      <c r="A901" s="745" t="s">
        <v>556</v>
      </c>
      <c r="B901" s="804" t="s">
        <v>559</v>
      </c>
      <c r="C901" s="803"/>
      <c r="D901" s="799" t="s">
        <v>179</v>
      </c>
      <c r="E901" s="801"/>
      <c r="F901" s="801"/>
      <c r="G901" s="292"/>
      <c r="N901" s="633"/>
      <c r="O901" s="633"/>
    </row>
    <row r="902" spans="1:15" ht="12.75" hidden="1">
      <c r="A902" s="800"/>
      <c r="B902" s="805" t="s">
        <v>560</v>
      </c>
      <c r="C902" s="803" t="s">
        <v>142</v>
      </c>
      <c r="D902" s="799">
        <v>0</v>
      </c>
      <c r="E902" s="89"/>
      <c r="F902" s="801">
        <f aca="true" t="shared" si="20" ref="F902:F907">D902*E902</f>
        <v>0</v>
      </c>
      <c r="G902" s="292">
        <v>8</v>
      </c>
      <c r="N902" s="633"/>
      <c r="O902" s="633"/>
    </row>
    <row r="903" spans="1:15" ht="12.75" hidden="1">
      <c r="A903" s="800"/>
      <c r="B903" s="805" t="s">
        <v>561</v>
      </c>
      <c r="C903" s="803" t="s">
        <v>142</v>
      </c>
      <c r="D903" s="799">
        <v>0</v>
      </c>
      <c r="E903" s="89"/>
      <c r="F903" s="801">
        <f t="shared" si="20"/>
        <v>0</v>
      </c>
      <c r="G903" s="292">
        <v>12</v>
      </c>
      <c r="N903" s="633"/>
      <c r="O903" s="633"/>
    </row>
    <row r="904" spans="1:15" ht="12.75" hidden="1">
      <c r="A904" s="800"/>
      <c r="B904" s="805" t="s">
        <v>562</v>
      </c>
      <c r="C904" s="803" t="s">
        <v>142</v>
      </c>
      <c r="D904" s="799">
        <v>0</v>
      </c>
      <c r="E904" s="89"/>
      <c r="F904" s="801">
        <f t="shared" si="20"/>
        <v>0</v>
      </c>
      <c r="G904" s="292">
        <v>18</v>
      </c>
      <c r="N904" s="633"/>
      <c r="O904" s="633"/>
    </row>
    <row r="905" spans="1:15" ht="12.75">
      <c r="A905" s="800"/>
      <c r="B905" s="805" t="s">
        <v>563</v>
      </c>
      <c r="C905" s="803" t="s">
        <v>142</v>
      </c>
      <c r="D905" s="799">
        <v>1</v>
      </c>
      <c r="E905" s="89"/>
      <c r="F905" s="801">
        <f t="shared" si="20"/>
        <v>0</v>
      </c>
      <c r="G905" s="292">
        <v>29</v>
      </c>
      <c r="N905" s="633">
        <f>E905*1.2</f>
        <v>0</v>
      </c>
      <c r="O905" s="633">
        <f>N905*D905</f>
        <v>0</v>
      </c>
    </row>
    <row r="906" spans="1:15" ht="12.75" hidden="1">
      <c r="A906" s="800"/>
      <c r="B906" s="805" t="s">
        <v>564</v>
      </c>
      <c r="C906" s="803" t="s">
        <v>142</v>
      </c>
      <c r="D906" s="799">
        <v>0</v>
      </c>
      <c r="E906" s="89"/>
      <c r="F906" s="801">
        <f t="shared" si="20"/>
        <v>0</v>
      </c>
      <c r="G906" s="292">
        <v>52</v>
      </c>
      <c r="N906" s="633"/>
      <c r="O906" s="633"/>
    </row>
    <row r="907" spans="1:15" ht="12.75" hidden="1">
      <c r="A907" s="800"/>
      <c r="B907" s="805" t="s">
        <v>565</v>
      </c>
      <c r="C907" s="803" t="s">
        <v>142</v>
      </c>
      <c r="D907" s="799">
        <v>0</v>
      </c>
      <c r="E907" s="89"/>
      <c r="F907" s="801">
        <f t="shared" si="20"/>
        <v>0</v>
      </c>
      <c r="G907" s="292">
        <v>80</v>
      </c>
      <c r="N907" s="633"/>
      <c r="O907" s="633"/>
    </row>
    <row r="908" spans="1:15" ht="12.75">
      <c r="A908" s="800"/>
      <c r="B908" s="805"/>
      <c r="C908" s="803"/>
      <c r="D908" s="799"/>
      <c r="E908" s="801"/>
      <c r="F908" s="801"/>
      <c r="G908" s="292"/>
      <c r="N908" s="633"/>
      <c r="O908" s="633"/>
    </row>
    <row r="909" spans="1:15" ht="76.5" hidden="1">
      <c r="A909" s="800">
        <v>5</v>
      </c>
      <c r="B909" s="804" t="s">
        <v>566</v>
      </c>
      <c r="C909" s="803"/>
      <c r="D909" s="799"/>
      <c r="E909" s="801"/>
      <c r="F909" s="801"/>
      <c r="G909" s="292"/>
      <c r="N909" s="633"/>
      <c r="O909" s="633"/>
    </row>
    <row r="910" spans="1:15" ht="12.75" hidden="1">
      <c r="A910" s="800"/>
      <c r="B910" s="125" t="s">
        <v>567</v>
      </c>
      <c r="C910" s="803" t="s">
        <v>142</v>
      </c>
      <c r="D910" s="799">
        <v>0</v>
      </c>
      <c r="E910" s="89"/>
      <c r="F910" s="89">
        <f>D910*E910</f>
        <v>0</v>
      </c>
      <c r="G910" s="292">
        <v>75</v>
      </c>
      <c r="N910" s="633"/>
      <c r="O910" s="633"/>
    </row>
    <row r="911" spans="1:15" ht="12.75" hidden="1">
      <c r="A911" s="800"/>
      <c r="B911" s="125"/>
      <c r="C911" s="803"/>
      <c r="D911" s="799"/>
      <c r="E911" s="801"/>
      <c r="F911" s="89"/>
      <c r="G911" s="292"/>
      <c r="N911" s="633"/>
      <c r="O911" s="633"/>
    </row>
    <row r="912" spans="1:15" ht="38.25">
      <c r="A912" s="745" t="s">
        <v>339</v>
      </c>
      <c r="B912" s="594" t="s">
        <v>568</v>
      </c>
      <c r="C912" s="803"/>
      <c r="D912" s="799" t="s">
        <v>179</v>
      </c>
      <c r="E912" s="801"/>
      <c r="F912" s="89"/>
      <c r="G912" s="292"/>
      <c r="N912" s="633"/>
      <c r="O912" s="633"/>
    </row>
    <row r="913" spans="1:15" ht="12.75">
      <c r="A913" s="745"/>
      <c r="B913" s="125" t="s">
        <v>569</v>
      </c>
      <c r="C913" s="803" t="s">
        <v>47</v>
      </c>
      <c r="D913" s="799">
        <v>8</v>
      </c>
      <c r="E913" s="89"/>
      <c r="F913" s="89">
        <f aca="true" t="shared" si="21" ref="F913:F918">D913*E913</f>
        <v>0</v>
      </c>
      <c r="G913" s="292">
        <v>16</v>
      </c>
      <c r="N913" s="633">
        <f>E913*1.2</f>
        <v>0</v>
      </c>
      <c r="O913" s="633">
        <f>N913*D913</f>
        <v>0</v>
      </c>
    </row>
    <row r="914" spans="1:15" ht="12.75" hidden="1">
      <c r="A914" s="745"/>
      <c r="B914" s="125" t="s">
        <v>570</v>
      </c>
      <c r="C914" s="803" t="s">
        <v>47</v>
      </c>
      <c r="D914" s="799">
        <v>0</v>
      </c>
      <c r="E914" s="89"/>
      <c r="F914" s="89">
        <f t="shared" si="21"/>
        <v>0</v>
      </c>
      <c r="G914" s="292">
        <v>16</v>
      </c>
      <c r="N914" s="633"/>
      <c r="O914" s="633"/>
    </row>
    <row r="915" spans="1:15" ht="12.75">
      <c r="A915" s="745"/>
      <c r="B915" s="125" t="s">
        <v>571</v>
      </c>
      <c r="C915" s="803" t="s">
        <v>47</v>
      </c>
      <c r="D915" s="799">
        <v>2</v>
      </c>
      <c r="E915" s="89"/>
      <c r="F915" s="89">
        <f t="shared" si="21"/>
        <v>0</v>
      </c>
      <c r="G915" s="292">
        <v>22</v>
      </c>
      <c r="N915" s="633">
        <f>E915*1.2</f>
        <v>0</v>
      </c>
      <c r="O915" s="633">
        <f>N915*D915</f>
        <v>0</v>
      </c>
    </row>
    <row r="916" spans="1:15" ht="12.75" hidden="1">
      <c r="A916" s="800"/>
      <c r="B916" s="125" t="s">
        <v>572</v>
      </c>
      <c r="C916" s="803" t="s">
        <v>47</v>
      </c>
      <c r="D916" s="799">
        <v>0</v>
      </c>
      <c r="E916" s="89"/>
      <c r="F916" s="89">
        <f t="shared" si="21"/>
        <v>0</v>
      </c>
      <c r="G916" s="292">
        <v>22</v>
      </c>
      <c r="N916" s="633"/>
      <c r="O916" s="633"/>
    </row>
    <row r="917" spans="1:15" ht="12.75" hidden="1">
      <c r="A917" s="800"/>
      <c r="B917" s="125" t="s">
        <v>573</v>
      </c>
      <c r="C917" s="803" t="s">
        <v>47</v>
      </c>
      <c r="D917" s="799">
        <v>0</v>
      </c>
      <c r="E917" s="89"/>
      <c r="F917" s="89">
        <f t="shared" si="21"/>
        <v>0</v>
      </c>
      <c r="G917" s="292">
        <v>30</v>
      </c>
      <c r="N917" s="633"/>
      <c r="O917" s="633"/>
    </row>
    <row r="918" spans="1:15" ht="12.75" hidden="1">
      <c r="A918" s="800"/>
      <c r="B918" s="125" t="s">
        <v>573</v>
      </c>
      <c r="C918" s="803" t="s">
        <v>47</v>
      </c>
      <c r="D918" s="799">
        <v>0</v>
      </c>
      <c r="E918" s="89"/>
      <c r="F918" s="89">
        <f t="shared" si="21"/>
        <v>0</v>
      </c>
      <c r="G918" s="292">
        <v>30</v>
      </c>
      <c r="N918" s="633"/>
      <c r="O918" s="633"/>
    </row>
    <row r="919" spans="1:15" ht="12.75" hidden="1">
      <c r="A919" s="800"/>
      <c r="B919" s="125"/>
      <c r="C919" s="803"/>
      <c r="D919" s="799"/>
      <c r="E919" s="801"/>
      <c r="F919" s="89"/>
      <c r="G919" s="292"/>
      <c r="N919" s="633"/>
      <c r="O919" s="633"/>
    </row>
    <row r="920" spans="1:15" ht="38.25" hidden="1">
      <c r="A920" s="745" t="s">
        <v>368</v>
      </c>
      <c r="B920" s="594" t="s">
        <v>574</v>
      </c>
      <c r="C920" s="803"/>
      <c r="D920" s="799" t="s">
        <v>179</v>
      </c>
      <c r="E920" s="801"/>
      <c r="F920" s="89"/>
      <c r="G920" s="292"/>
      <c r="N920" s="633"/>
      <c r="O920" s="633"/>
    </row>
    <row r="921" spans="1:15" ht="12.75" hidden="1">
      <c r="A921" s="745"/>
      <c r="B921" s="125" t="s">
        <v>569</v>
      </c>
      <c r="C921" s="803" t="s">
        <v>47</v>
      </c>
      <c r="D921" s="799">
        <v>0</v>
      </c>
      <c r="E921" s="801"/>
      <c r="F921" s="89">
        <f>D921*E921</f>
        <v>0</v>
      </c>
      <c r="G921" s="292"/>
      <c r="N921" s="633"/>
      <c r="O921" s="633"/>
    </row>
    <row r="922" spans="1:15" ht="12.75" hidden="1">
      <c r="A922" s="745"/>
      <c r="B922" s="125" t="s">
        <v>575</v>
      </c>
      <c r="C922" s="803" t="s">
        <v>47</v>
      </c>
      <c r="D922" s="799">
        <v>0</v>
      </c>
      <c r="E922" s="89"/>
      <c r="F922" s="89">
        <f>D922*E922</f>
        <v>0</v>
      </c>
      <c r="G922" s="292">
        <v>45</v>
      </c>
      <c r="N922" s="633"/>
      <c r="O922" s="633"/>
    </row>
    <row r="923" spans="1:15" ht="12.75" hidden="1">
      <c r="A923" s="745"/>
      <c r="B923" s="125"/>
      <c r="C923" s="803"/>
      <c r="D923" s="799"/>
      <c r="E923" s="801"/>
      <c r="F923" s="89"/>
      <c r="G923" s="292"/>
      <c r="N923" s="633"/>
      <c r="O923" s="633"/>
    </row>
    <row r="924" spans="1:15" ht="153" hidden="1">
      <c r="A924" s="691">
        <v>6</v>
      </c>
      <c r="B924" s="594" t="s">
        <v>576</v>
      </c>
      <c r="C924" s="86"/>
      <c r="D924" s="799"/>
      <c r="E924" s="89"/>
      <c r="F924" s="89"/>
      <c r="G924" s="292"/>
      <c r="N924" s="633"/>
      <c r="O924" s="633"/>
    </row>
    <row r="925" spans="1:15" ht="12.75" hidden="1">
      <c r="A925" s="691"/>
      <c r="B925" s="125" t="s">
        <v>577</v>
      </c>
      <c r="C925" s="86" t="s">
        <v>350</v>
      </c>
      <c r="D925" s="799">
        <v>0</v>
      </c>
      <c r="E925" s="89"/>
      <c r="F925" s="89">
        <f>D925*E925</f>
        <v>0</v>
      </c>
      <c r="G925" s="292"/>
      <c r="N925" s="633"/>
      <c r="O925" s="633"/>
    </row>
    <row r="926" spans="1:15" ht="12.75">
      <c r="A926" s="691"/>
      <c r="B926" s="125"/>
      <c r="C926" s="86"/>
      <c r="D926" s="799"/>
      <c r="E926" s="89"/>
      <c r="F926" s="89"/>
      <c r="G926" s="292"/>
      <c r="N926" s="633"/>
      <c r="O926" s="633"/>
    </row>
    <row r="927" spans="1:15" ht="165.75" hidden="1">
      <c r="A927" s="806">
        <v>7</v>
      </c>
      <c r="B927" s="807" t="s">
        <v>578</v>
      </c>
      <c r="C927" s="86"/>
      <c r="D927" s="799"/>
      <c r="E927" s="89"/>
      <c r="F927" s="89"/>
      <c r="G927" s="292"/>
      <c r="N927" s="633"/>
      <c r="O927" s="633"/>
    </row>
    <row r="928" spans="1:15" ht="38.25" hidden="1">
      <c r="A928" s="691"/>
      <c r="B928" s="808" t="s">
        <v>579</v>
      </c>
      <c r="C928" s="809" t="s">
        <v>350</v>
      </c>
      <c r="D928" s="133">
        <v>0</v>
      </c>
      <c r="E928" s="810"/>
      <c r="F928" s="810">
        <f>D928*E928</f>
        <v>0</v>
      </c>
      <c r="G928" s="292">
        <v>35</v>
      </c>
      <c r="N928" s="633"/>
      <c r="O928" s="633"/>
    </row>
    <row r="929" spans="1:15" ht="25.5" hidden="1">
      <c r="A929" s="691"/>
      <c r="B929" s="808" t="s">
        <v>580</v>
      </c>
      <c r="C929" s="809" t="s">
        <v>350</v>
      </c>
      <c r="D929" s="133">
        <v>0</v>
      </c>
      <c r="E929" s="810"/>
      <c r="F929" s="810">
        <f>D929*E929</f>
        <v>0</v>
      </c>
      <c r="G929" s="292">
        <v>35</v>
      </c>
      <c r="N929" s="633"/>
      <c r="O929" s="633"/>
    </row>
    <row r="930" spans="1:15" ht="12.75" hidden="1">
      <c r="A930" s="691"/>
      <c r="B930" s="125"/>
      <c r="C930" s="86"/>
      <c r="D930" s="799"/>
      <c r="E930" s="89"/>
      <c r="F930" s="89"/>
      <c r="G930" s="292"/>
      <c r="N930" s="633"/>
      <c r="O930" s="633"/>
    </row>
    <row r="931" spans="1:15" ht="140.25">
      <c r="A931" s="745" t="s">
        <v>342</v>
      </c>
      <c r="B931" s="594" t="s">
        <v>581</v>
      </c>
      <c r="C931" s="698" t="s">
        <v>350</v>
      </c>
      <c r="D931" s="799">
        <f>SUM(D878:D887)+SUM(D890:D896)</f>
        <v>62.59</v>
      </c>
      <c r="E931" s="89"/>
      <c r="F931" s="89">
        <f>D931*E931</f>
        <v>0</v>
      </c>
      <c r="G931" s="292">
        <v>1</v>
      </c>
      <c r="N931" s="633">
        <f>E931*1.2</f>
        <v>0</v>
      </c>
      <c r="O931" s="633">
        <f>N931*D931</f>
        <v>0</v>
      </c>
    </row>
    <row r="932" spans="1:15" ht="12.75">
      <c r="A932" s="745"/>
      <c r="B932" s="594"/>
      <c r="C932" s="698"/>
      <c r="D932" s="799"/>
      <c r="E932" s="89"/>
      <c r="F932" s="89"/>
      <c r="G932" s="292"/>
      <c r="N932" s="633"/>
      <c r="O932" s="633"/>
    </row>
    <row r="933" spans="1:15" ht="15.75">
      <c r="A933" s="837" t="s">
        <v>734</v>
      </c>
      <c r="B933" s="838" t="s">
        <v>582</v>
      </c>
      <c r="C933" s="839"/>
      <c r="D933" s="840"/>
      <c r="E933" s="841"/>
      <c r="F933" s="841">
        <f>SUM(F873:F932)</f>
        <v>0</v>
      </c>
      <c r="G933" s="834"/>
      <c r="H933" s="835"/>
      <c r="I933" s="835"/>
      <c r="J933" s="835"/>
      <c r="K933" s="835"/>
      <c r="L933" s="835"/>
      <c r="M933" s="835"/>
      <c r="N933" s="836"/>
      <c r="O933" s="842">
        <f>SUM(O873:O932)</f>
        <v>0</v>
      </c>
    </row>
    <row r="934" spans="1:15" ht="12.75">
      <c r="A934" s="31"/>
      <c r="B934" s="32"/>
      <c r="C934" s="26"/>
      <c r="D934" s="27"/>
      <c r="E934" s="29"/>
      <c r="F934" s="29"/>
      <c r="N934" s="89"/>
      <c r="O934" s="89"/>
    </row>
    <row r="935" spans="1:15" ht="12.75">
      <c r="A935" s="843" t="s">
        <v>735</v>
      </c>
      <c r="B935" s="844" t="s">
        <v>583</v>
      </c>
      <c r="C935" s="845"/>
      <c r="D935" s="846"/>
      <c r="E935" s="847"/>
      <c r="F935" s="847"/>
      <c r="G935" s="292"/>
      <c r="N935" s="847"/>
      <c r="O935" s="847"/>
    </row>
    <row r="936" spans="1:15" ht="12.75" hidden="1">
      <c r="A936" s="743"/>
      <c r="B936" s="744"/>
      <c r="C936" s="712"/>
      <c r="D936" s="776"/>
      <c r="E936" s="632"/>
      <c r="F936" s="632"/>
      <c r="G936" s="292"/>
      <c r="N936" s="633"/>
      <c r="O936" s="633"/>
    </row>
    <row r="937" spans="1:15" ht="140.25" hidden="1">
      <c r="A937" s="757" t="s">
        <v>339</v>
      </c>
      <c r="B937" s="711" t="s">
        <v>584</v>
      </c>
      <c r="C937" s="712" t="s">
        <v>47</v>
      </c>
      <c r="D937" s="776">
        <v>0</v>
      </c>
      <c r="E937" s="632">
        <v>12100</v>
      </c>
      <c r="F937" s="632">
        <f>D937*E937</f>
        <v>0</v>
      </c>
      <c r="G937" s="292"/>
      <c r="N937" s="633"/>
      <c r="O937" s="633"/>
    </row>
    <row r="938" spans="1:15" ht="12.75">
      <c r="A938" s="757"/>
      <c r="B938" s="711"/>
      <c r="C938" s="712"/>
      <c r="D938" s="776"/>
      <c r="E938" s="632"/>
      <c r="F938" s="632"/>
      <c r="G938" s="292"/>
      <c r="N938" s="633"/>
      <c r="O938" s="633"/>
    </row>
    <row r="939" spans="1:15" ht="165.75">
      <c r="A939" s="757" t="s">
        <v>325</v>
      </c>
      <c r="B939" s="848" t="s">
        <v>585</v>
      </c>
      <c r="C939" s="101" t="s">
        <v>142</v>
      </c>
      <c r="D939" s="776">
        <v>7</v>
      </c>
      <c r="E939" s="89"/>
      <c r="F939" s="632">
        <f>E939*D939</f>
        <v>0</v>
      </c>
      <c r="G939" s="292">
        <v>70</v>
      </c>
      <c r="N939" s="633">
        <f>E939*1.2</f>
        <v>0</v>
      </c>
      <c r="O939" s="633">
        <f>N939*D939</f>
        <v>0</v>
      </c>
    </row>
    <row r="940" spans="1:15" ht="12.75" hidden="1">
      <c r="A940" s="757"/>
      <c r="B940" s="848"/>
      <c r="C940" s="101"/>
      <c r="D940" s="776"/>
      <c r="E940" s="632"/>
      <c r="F940" s="632"/>
      <c r="G940" s="292"/>
      <c r="N940" s="633"/>
      <c r="O940" s="633"/>
    </row>
    <row r="941" spans="1:15" ht="140.25" hidden="1">
      <c r="A941" s="757" t="s">
        <v>556</v>
      </c>
      <c r="B941" s="711" t="s">
        <v>586</v>
      </c>
      <c r="C941" s="712" t="s">
        <v>142</v>
      </c>
      <c r="D941" s="776">
        <v>0</v>
      </c>
      <c r="E941" s="632"/>
      <c r="F941" s="632">
        <f>D941*E941</f>
        <v>0</v>
      </c>
      <c r="G941" s="292"/>
      <c r="N941" s="633"/>
      <c r="O941" s="633"/>
    </row>
    <row r="942" spans="1:15" ht="12.75" hidden="1">
      <c r="A942" s="757"/>
      <c r="B942" s="711"/>
      <c r="C942" s="712"/>
      <c r="D942" s="776"/>
      <c r="E942" s="632"/>
      <c r="F942" s="632"/>
      <c r="G942" s="292"/>
      <c r="N942" s="633"/>
      <c r="O942" s="633"/>
    </row>
    <row r="943" spans="1:15" ht="153" hidden="1">
      <c r="A943" s="757" t="s">
        <v>325</v>
      </c>
      <c r="B943" s="849" t="s">
        <v>587</v>
      </c>
      <c r="C943" s="712"/>
      <c r="D943" s="776"/>
      <c r="E943" s="632"/>
      <c r="F943" s="632"/>
      <c r="G943" s="292"/>
      <c r="N943" s="633"/>
      <c r="O943" s="633"/>
    </row>
    <row r="944" spans="1:15" ht="12.75" hidden="1">
      <c r="A944" s="757"/>
      <c r="B944" s="850" t="s">
        <v>588</v>
      </c>
      <c r="C944" s="6" t="s">
        <v>142</v>
      </c>
      <c r="D944" s="851">
        <v>0</v>
      </c>
      <c r="E944" s="69"/>
      <c r="F944" s="7">
        <f>D944*E944</f>
        <v>0</v>
      </c>
      <c r="G944" s="292"/>
      <c r="N944" s="633"/>
      <c r="O944" s="633"/>
    </row>
    <row r="945" spans="1:15" ht="12.75" hidden="1">
      <c r="A945" s="757"/>
      <c r="B945" s="107" t="s">
        <v>589</v>
      </c>
      <c r="C945" s="6" t="s">
        <v>142</v>
      </c>
      <c r="D945" s="852">
        <v>0</v>
      </c>
      <c r="E945" s="69"/>
      <c r="F945" s="7">
        <f>D945*E945</f>
        <v>0</v>
      </c>
      <c r="G945" s="292"/>
      <c r="N945" s="633"/>
      <c r="O945" s="633"/>
    </row>
    <row r="946" spans="1:15" ht="12.75" hidden="1">
      <c r="A946" s="757"/>
      <c r="B946" s="107" t="s">
        <v>590</v>
      </c>
      <c r="C946" s="6" t="s">
        <v>142</v>
      </c>
      <c r="D946" s="852">
        <v>0</v>
      </c>
      <c r="E946" s="69"/>
      <c r="F946" s="7">
        <f>D946*E946</f>
        <v>0</v>
      </c>
      <c r="G946" s="292"/>
      <c r="N946" s="633"/>
      <c r="O946" s="633"/>
    </row>
    <row r="947" spans="1:15" ht="12.75" hidden="1">
      <c r="A947" s="757"/>
      <c r="B947" s="107" t="s">
        <v>591</v>
      </c>
      <c r="C947" s="6" t="s">
        <v>142</v>
      </c>
      <c r="D947" s="852">
        <v>0</v>
      </c>
      <c r="E947" s="69"/>
      <c r="F947" s="7">
        <f>D947*E947</f>
        <v>0</v>
      </c>
      <c r="G947" s="292"/>
      <c r="N947" s="633"/>
      <c r="O947" s="633"/>
    </row>
    <row r="948" spans="1:15" ht="12.75" hidden="1">
      <c r="A948" s="757"/>
      <c r="B948" s="107"/>
      <c r="C948" s="6"/>
      <c r="D948" s="852"/>
      <c r="E948" s="69"/>
      <c r="F948" s="7"/>
      <c r="G948" s="292"/>
      <c r="N948" s="633"/>
      <c r="O948" s="633"/>
    </row>
    <row r="949" spans="1:15" ht="63.75" hidden="1">
      <c r="A949" s="757" t="s">
        <v>541</v>
      </c>
      <c r="B949" s="849" t="s">
        <v>592</v>
      </c>
      <c r="C949" s="712"/>
      <c r="D949" s="776"/>
      <c r="E949" s="632"/>
      <c r="F949" s="632"/>
      <c r="G949" s="292"/>
      <c r="N949" s="633"/>
      <c r="O949" s="633"/>
    </row>
    <row r="950" spans="1:15" ht="12.75" hidden="1">
      <c r="A950" s="757"/>
      <c r="B950" s="850" t="s">
        <v>593</v>
      </c>
      <c r="C950" s="6" t="s">
        <v>142</v>
      </c>
      <c r="D950" s="851">
        <v>0</v>
      </c>
      <c r="E950" s="69"/>
      <c r="F950" s="7">
        <f>D950*E950</f>
        <v>0</v>
      </c>
      <c r="G950" s="292"/>
      <c r="N950" s="633"/>
      <c r="O950" s="633"/>
    </row>
    <row r="951" spans="1:15" ht="12.75">
      <c r="A951" s="757"/>
      <c r="B951" s="853"/>
      <c r="C951" s="6"/>
      <c r="D951" s="852"/>
      <c r="E951" s="69"/>
      <c r="F951" s="7"/>
      <c r="G951" s="292"/>
      <c r="N951" s="633"/>
      <c r="O951" s="633"/>
    </row>
    <row r="952" spans="1:15" ht="153">
      <c r="A952" s="757" t="s">
        <v>541</v>
      </c>
      <c r="B952" s="849" t="s">
        <v>594</v>
      </c>
      <c r="C952" s="712"/>
      <c r="D952" s="776"/>
      <c r="E952" s="632"/>
      <c r="F952" s="632"/>
      <c r="G952" s="292"/>
      <c r="N952" s="633"/>
      <c r="O952" s="633"/>
    </row>
    <row r="953" spans="1:15" ht="12.75">
      <c r="A953" s="757"/>
      <c r="B953" s="854" t="s">
        <v>595</v>
      </c>
      <c r="C953" s="6" t="s">
        <v>142</v>
      </c>
      <c r="D953" s="851">
        <v>1</v>
      </c>
      <c r="E953" s="89"/>
      <c r="F953" s="632">
        <f>E953*D953</f>
        <v>0</v>
      </c>
      <c r="G953" s="292">
        <v>180</v>
      </c>
      <c r="N953" s="633">
        <f>E953*1.2</f>
        <v>0</v>
      </c>
      <c r="O953" s="633">
        <f>N953*D953</f>
        <v>0</v>
      </c>
    </row>
    <row r="954" spans="1:15" ht="12.75">
      <c r="A954" s="757"/>
      <c r="B954" s="853" t="s">
        <v>590</v>
      </c>
      <c r="C954" s="6" t="s">
        <v>142</v>
      </c>
      <c r="D954" s="851">
        <v>1</v>
      </c>
      <c r="E954" s="89"/>
      <c r="F954" s="632">
        <f>E954*D954</f>
        <v>0</v>
      </c>
      <c r="G954" s="292">
        <v>10</v>
      </c>
      <c r="N954" s="633">
        <f>E954*1.2</f>
        <v>0</v>
      </c>
      <c r="O954" s="633">
        <f>N954*D954</f>
        <v>0</v>
      </c>
    </row>
    <row r="955" spans="1:15" ht="12.75">
      <c r="A955" s="757"/>
      <c r="B955" s="853" t="s">
        <v>591</v>
      </c>
      <c r="C955" s="6" t="s">
        <v>142</v>
      </c>
      <c r="D955" s="851">
        <v>1</v>
      </c>
      <c r="E955" s="89"/>
      <c r="F955" s="632">
        <f>E955*D955</f>
        <v>0</v>
      </c>
      <c r="G955" s="292">
        <v>55</v>
      </c>
      <c r="N955" s="633">
        <f>E955*1.2</f>
        <v>0</v>
      </c>
      <c r="O955" s="633">
        <f>N955*D955</f>
        <v>0</v>
      </c>
    </row>
    <row r="956" spans="1:15" ht="12.75">
      <c r="A956" s="757"/>
      <c r="B956" s="853"/>
      <c r="C956" s="6"/>
      <c r="D956" s="852"/>
      <c r="E956" s="69"/>
      <c r="F956" s="7"/>
      <c r="G956" s="292"/>
      <c r="N956" s="633"/>
      <c r="O956" s="633"/>
    </row>
    <row r="957" spans="1:15" ht="102">
      <c r="A957" s="757" t="s">
        <v>553</v>
      </c>
      <c r="B957" s="714" t="s">
        <v>596</v>
      </c>
      <c r="C957" s="855" t="s">
        <v>142</v>
      </c>
      <c r="D957" s="856">
        <v>1</v>
      </c>
      <c r="E957" s="89"/>
      <c r="F957" s="632">
        <f>E957*D957</f>
        <v>0</v>
      </c>
      <c r="G957" s="292">
        <v>42</v>
      </c>
      <c r="N957" s="633">
        <f>E957*1.2</f>
        <v>0</v>
      </c>
      <c r="O957" s="633">
        <f>N957*D957</f>
        <v>0</v>
      </c>
    </row>
    <row r="958" spans="1:15" ht="12.75">
      <c r="A958" s="757"/>
      <c r="B958" s="853"/>
      <c r="C958" s="857"/>
      <c r="D958" s="852"/>
      <c r="E958" s="69"/>
      <c r="F958" s="7"/>
      <c r="G958" s="292"/>
      <c r="N958" s="633"/>
      <c r="O958" s="633"/>
    </row>
    <row r="959" spans="1:15" ht="25.5">
      <c r="A959" s="757" t="s">
        <v>556</v>
      </c>
      <c r="B959" s="853" t="s">
        <v>597</v>
      </c>
      <c r="C959" s="857"/>
      <c r="D959" s="852"/>
      <c r="E959" s="69"/>
      <c r="F959" s="7"/>
      <c r="G959" s="292"/>
      <c r="N959" s="633"/>
      <c r="O959" s="633"/>
    </row>
    <row r="960" spans="1:15" ht="12.75">
      <c r="A960" s="757"/>
      <c r="B960" s="853" t="s">
        <v>598</v>
      </c>
      <c r="C960" s="857" t="s">
        <v>142</v>
      </c>
      <c r="D960" s="852">
        <v>1</v>
      </c>
      <c r="E960" s="89"/>
      <c r="F960" s="632">
        <f>E960*D960</f>
        <v>0</v>
      </c>
      <c r="G960" s="292">
        <v>150</v>
      </c>
      <c r="N960" s="633">
        <f>E960*1.2</f>
        <v>0</v>
      </c>
      <c r="O960" s="633">
        <f>N960*D960</f>
        <v>0</v>
      </c>
    </row>
    <row r="961" spans="1:15" ht="12.75">
      <c r="A961" s="757"/>
      <c r="B961" s="853" t="s">
        <v>599</v>
      </c>
      <c r="C961" s="857" t="s">
        <v>142</v>
      </c>
      <c r="D961" s="852">
        <v>1</v>
      </c>
      <c r="E961" s="89"/>
      <c r="F961" s="632">
        <f>E961*D961</f>
        <v>0</v>
      </c>
      <c r="G961" s="292">
        <v>15</v>
      </c>
      <c r="N961" s="633">
        <f>E961*1.2</f>
        <v>0</v>
      </c>
      <c r="O961" s="633">
        <f>N961*D961</f>
        <v>0</v>
      </c>
    </row>
    <row r="962" spans="1:15" ht="38.25">
      <c r="A962" s="757"/>
      <c r="B962" s="853" t="s">
        <v>600</v>
      </c>
      <c r="C962" s="6" t="s">
        <v>142</v>
      </c>
      <c r="D962" s="852">
        <v>1</v>
      </c>
      <c r="E962" s="89"/>
      <c r="F962" s="632">
        <f>E962*D962</f>
        <v>0</v>
      </c>
      <c r="G962" s="292">
        <v>60</v>
      </c>
      <c r="N962" s="633">
        <f>E962*1.2</f>
        <v>0</v>
      </c>
      <c r="O962" s="633">
        <f>N962*D962</f>
        <v>0</v>
      </c>
    </row>
    <row r="963" spans="1:15" ht="12.75" hidden="1">
      <c r="A963" s="757"/>
      <c r="B963" s="853"/>
      <c r="C963" s="6"/>
      <c r="D963" s="852"/>
      <c r="E963" s="69"/>
      <c r="F963" s="7"/>
      <c r="G963" s="292"/>
      <c r="N963" s="633"/>
      <c r="O963" s="633"/>
    </row>
    <row r="964" spans="1:15" ht="89.25" hidden="1">
      <c r="A964" s="757" t="s">
        <v>553</v>
      </c>
      <c r="B964" s="711" t="s">
        <v>601</v>
      </c>
      <c r="C964" s="712"/>
      <c r="D964" s="776"/>
      <c r="E964" s="632"/>
      <c r="F964" s="632"/>
      <c r="G964" s="292"/>
      <c r="N964" s="633"/>
      <c r="O964" s="633"/>
    </row>
    <row r="965" spans="1:15" ht="12.75" hidden="1">
      <c r="A965" s="757"/>
      <c r="B965" s="177" t="s">
        <v>602</v>
      </c>
      <c r="C965" s="712"/>
      <c r="D965" s="776"/>
      <c r="E965" s="632"/>
      <c r="F965" s="632"/>
      <c r="G965" s="292"/>
      <c r="N965" s="633"/>
      <c r="O965" s="633"/>
    </row>
    <row r="966" spans="1:15" ht="25.5" hidden="1">
      <c r="A966" s="757"/>
      <c r="B966" s="858" t="s">
        <v>603</v>
      </c>
      <c r="C966" s="712"/>
      <c r="D966" s="776"/>
      <c r="E966" s="632"/>
      <c r="F966" s="632"/>
      <c r="G966" s="292"/>
      <c r="N966" s="633"/>
      <c r="O966" s="633"/>
    </row>
    <row r="967" spans="1:15" ht="12.75" hidden="1">
      <c r="A967" s="757"/>
      <c r="B967" s="177" t="s">
        <v>604</v>
      </c>
      <c r="C967" s="712"/>
      <c r="D967" s="776"/>
      <c r="E967" s="632"/>
      <c r="F967" s="632"/>
      <c r="G967" s="292"/>
      <c r="N967" s="633"/>
      <c r="O967" s="633"/>
    </row>
    <row r="968" spans="1:15" ht="12.75" hidden="1">
      <c r="A968" s="757"/>
      <c r="B968" s="177" t="s">
        <v>605</v>
      </c>
      <c r="C968" s="712"/>
      <c r="D968" s="776"/>
      <c r="E968" s="632"/>
      <c r="F968" s="632"/>
      <c r="G968" s="292"/>
      <c r="N968" s="633"/>
      <c r="O968" s="633"/>
    </row>
    <row r="969" spans="1:15" ht="12.75" hidden="1">
      <c r="A969" s="757"/>
      <c r="B969" s="177" t="s">
        <v>606</v>
      </c>
      <c r="C969" s="712"/>
      <c r="D969" s="776"/>
      <c r="E969" s="632"/>
      <c r="F969" s="632"/>
      <c r="G969" s="292"/>
      <c r="N969" s="633"/>
      <c r="O969" s="633"/>
    </row>
    <row r="970" spans="1:15" ht="12.75" hidden="1">
      <c r="A970" s="757"/>
      <c r="B970" s="177" t="s">
        <v>607</v>
      </c>
      <c r="C970" s="712" t="s">
        <v>47</v>
      </c>
      <c r="D970" s="776">
        <v>0</v>
      </c>
      <c r="E970" s="89"/>
      <c r="F970" s="632">
        <f>D970*E970</f>
        <v>0</v>
      </c>
      <c r="G970" s="292">
        <v>270</v>
      </c>
      <c r="N970" s="633"/>
      <c r="O970" s="633"/>
    </row>
    <row r="971" spans="1:15" ht="12.75">
      <c r="A971" s="757"/>
      <c r="B971" s="177"/>
      <c r="C971" s="712"/>
      <c r="D971" s="776"/>
      <c r="E971" s="632"/>
      <c r="F971" s="632"/>
      <c r="G971" s="292"/>
      <c r="N971" s="633"/>
      <c r="O971" s="633"/>
    </row>
    <row r="972" spans="1:15" ht="140.25">
      <c r="A972" s="757" t="s">
        <v>339</v>
      </c>
      <c r="B972" s="859" t="s">
        <v>608</v>
      </c>
      <c r="C972" s="101" t="s">
        <v>142</v>
      </c>
      <c r="D972" s="776">
        <v>1</v>
      </c>
      <c r="E972" s="89"/>
      <c r="F972" s="632">
        <f>E972*D972</f>
        <v>0</v>
      </c>
      <c r="G972" s="292">
        <v>290</v>
      </c>
      <c r="N972" s="633">
        <f>E972*1.2</f>
        <v>0</v>
      </c>
      <c r="O972" s="633">
        <f>N972*D972</f>
        <v>0</v>
      </c>
    </row>
    <row r="973" spans="1:15" ht="12.75">
      <c r="A973" s="757"/>
      <c r="B973" s="859"/>
      <c r="C973" s="101"/>
      <c r="D973" s="776"/>
      <c r="E973" s="632"/>
      <c r="F973" s="632"/>
      <c r="G973" s="292"/>
      <c r="N973" s="633"/>
      <c r="O973" s="633"/>
    </row>
    <row r="974" spans="1:15" ht="165.75">
      <c r="A974" s="757" t="s">
        <v>342</v>
      </c>
      <c r="B974" s="711" t="s">
        <v>609</v>
      </c>
      <c r="C974" s="697"/>
      <c r="D974" s="799"/>
      <c r="E974" s="89"/>
      <c r="F974" s="89"/>
      <c r="G974" s="292"/>
      <c r="N974" s="633"/>
      <c r="O974" s="633"/>
    </row>
    <row r="975" spans="1:15" ht="12.75">
      <c r="A975" s="757"/>
      <c r="B975" s="711" t="s">
        <v>610</v>
      </c>
      <c r="C975" s="101" t="s">
        <v>142</v>
      </c>
      <c r="D975" s="776">
        <v>6</v>
      </c>
      <c r="E975" s="89"/>
      <c r="F975" s="632">
        <f>E975*D975</f>
        <v>0</v>
      </c>
      <c r="G975" s="292">
        <v>125</v>
      </c>
      <c r="N975" s="633">
        <f>E975*1.2</f>
        <v>0</v>
      </c>
      <c r="O975" s="633">
        <f>N975*D975</f>
        <v>0</v>
      </c>
    </row>
    <row r="976" spans="1:15" ht="12.75" hidden="1">
      <c r="A976" s="757"/>
      <c r="B976" s="859" t="s">
        <v>611</v>
      </c>
      <c r="C976" s="101" t="s">
        <v>142</v>
      </c>
      <c r="D976" s="776">
        <v>0</v>
      </c>
      <c r="E976" s="89"/>
      <c r="F976" s="632">
        <f>D976*E976</f>
        <v>0</v>
      </c>
      <c r="G976" s="292">
        <v>125</v>
      </c>
      <c r="N976" s="633"/>
      <c r="O976" s="633"/>
    </row>
    <row r="977" spans="1:15" ht="12.75" hidden="1">
      <c r="A977" s="757"/>
      <c r="B977" s="859"/>
      <c r="C977" s="101"/>
      <c r="D977" s="776"/>
      <c r="E977" s="632"/>
      <c r="F977" s="632"/>
      <c r="G977" s="292"/>
      <c r="N977" s="633"/>
      <c r="O977" s="633"/>
    </row>
    <row r="978" spans="1:15" ht="216.75" hidden="1">
      <c r="A978" s="757" t="s">
        <v>556</v>
      </c>
      <c r="B978" s="711" t="s">
        <v>612</v>
      </c>
      <c r="C978" s="101" t="s">
        <v>142</v>
      </c>
      <c r="D978" s="776">
        <v>0</v>
      </c>
      <c r="E978" s="89"/>
      <c r="F978" s="632">
        <f>D978*E978</f>
        <v>0</v>
      </c>
      <c r="G978" s="292">
        <v>105</v>
      </c>
      <c r="N978" s="633"/>
      <c r="O978" s="633"/>
    </row>
    <row r="979" spans="1:15" ht="12.75" hidden="1">
      <c r="A979" s="757"/>
      <c r="B979" s="775"/>
      <c r="C979" s="101"/>
      <c r="D979" s="776"/>
      <c r="E979" s="632"/>
      <c r="F979" s="632"/>
      <c r="G979" s="292"/>
      <c r="N979" s="633"/>
      <c r="O979" s="633"/>
    </row>
    <row r="980" spans="1:15" ht="165.75" hidden="1">
      <c r="A980" s="757" t="s">
        <v>556</v>
      </c>
      <c r="B980" s="860" t="s">
        <v>613</v>
      </c>
      <c r="C980" s="855" t="s">
        <v>142</v>
      </c>
      <c r="D980" s="856">
        <v>0</v>
      </c>
      <c r="E980" s="89"/>
      <c r="F980" s="7">
        <f>D980*E980</f>
        <v>0</v>
      </c>
      <c r="G980" s="292">
        <v>67</v>
      </c>
      <c r="N980" s="633"/>
      <c r="O980" s="633"/>
    </row>
    <row r="981" spans="1:15" ht="12.75" hidden="1">
      <c r="A981" s="757"/>
      <c r="B981" s="775"/>
      <c r="C981" s="101"/>
      <c r="D981" s="776"/>
      <c r="E981" s="632"/>
      <c r="F981" s="632"/>
      <c r="G981" s="292"/>
      <c r="N981" s="633"/>
      <c r="O981" s="633"/>
    </row>
    <row r="982" spans="1:15" ht="216.75" hidden="1">
      <c r="A982" s="757" t="s">
        <v>556</v>
      </c>
      <c r="B982" s="861" t="s">
        <v>614</v>
      </c>
      <c r="C982" s="86" t="s">
        <v>142</v>
      </c>
      <c r="D982" s="862">
        <v>0</v>
      </c>
      <c r="E982" s="89"/>
      <c r="F982" s="7">
        <f>D982*E982</f>
        <v>0</v>
      </c>
      <c r="G982" s="292">
        <v>215</v>
      </c>
      <c r="N982" s="633"/>
      <c r="O982" s="633"/>
    </row>
    <row r="983" spans="1:15" ht="12.75" hidden="1">
      <c r="A983" s="757"/>
      <c r="B983" s="861"/>
      <c r="C983" s="86"/>
      <c r="D983" s="862"/>
      <c r="E983" s="69"/>
      <c r="F983" s="7"/>
      <c r="G983" s="292"/>
      <c r="N983" s="633"/>
      <c r="O983" s="633"/>
    </row>
    <row r="984" spans="1:15" ht="216.75" hidden="1">
      <c r="A984" s="757" t="s">
        <v>339</v>
      </c>
      <c r="B984" s="861" t="s">
        <v>615</v>
      </c>
      <c r="C984" s="86" t="s">
        <v>142</v>
      </c>
      <c r="D984" s="862">
        <v>0</v>
      </c>
      <c r="E984" s="89"/>
      <c r="F984" s="7">
        <f>D984*E984</f>
        <v>0</v>
      </c>
      <c r="G984" s="292">
        <v>295</v>
      </c>
      <c r="N984" s="633"/>
      <c r="O984" s="633"/>
    </row>
    <row r="985" spans="1:15" ht="12.75" hidden="1">
      <c r="A985" s="757"/>
      <c r="B985" s="775"/>
      <c r="C985" s="101"/>
      <c r="D985" s="776"/>
      <c r="E985" s="632"/>
      <c r="F985" s="632"/>
      <c r="G985" s="292"/>
      <c r="N985" s="633"/>
      <c r="O985" s="633"/>
    </row>
    <row r="986" spans="1:15" ht="89.25" hidden="1">
      <c r="A986" s="757" t="s">
        <v>342</v>
      </c>
      <c r="B986" s="863" t="s">
        <v>616</v>
      </c>
      <c r="C986" s="101"/>
      <c r="D986" s="776"/>
      <c r="E986" s="632"/>
      <c r="F986" s="632"/>
      <c r="G986" s="292"/>
      <c r="N986" s="633"/>
      <c r="O986" s="633"/>
    </row>
    <row r="987" spans="1:15" ht="12.75" hidden="1">
      <c r="A987" s="757"/>
      <c r="B987" s="854" t="s">
        <v>617</v>
      </c>
      <c r="C987" s="6" t="s">
        <v>47</v>
      </c>
      <c r="D987" s="862">
        <v>0</v>
      </c>
      <c r="E987" s="89"/>
      <c r="F987" s="7">
        <f>D987*E987</f>
        <v>0</v>
      </c>
      <c r="G987" s="292">
        <v>42</v>
      </c>
      <c r="N987" s="633"/>
      <c r="O987" s="633"/>
    </row>
    <row r="988" spans="1:15" ht="12.75" hidden="1">
      <c r="A988" s="757"/>
      <c r="B988" s="854" t="s">
        <v>618</v>
      </c>
      <c r="C988" s="6" t="s">
        <v>47</v>
      </c>
      <c r="D988" s="862">
        <v>0</v>
      </c>
      <c r="E988" s="89"/>
      <c r="F988" s="7">
        <f>D988*E988</f>
        <v>0</v>
      </c>
      <c r="G988" s="292">
        <v>10.5</v>
      </c>
      <c r="N988" s="633"/>
      <c r="O988" s="633"/>
    </row>
    <row r="989" spans="1:15" ht="12.75" hidden="1">
      <c r="A989" s="757"/>
      <c r="B989" s="854"/>
      <c r="C989" s="6"/>
      <c r="D989" s="862"/>
      <c r="E989" s="69"/>
      <c r="F989" s="7"/>
      <c r="G989" s="292"/>
      <c r="N989" s="633"/>
      <c r="O989" s="633"/>
    </row>
    <row r="990" spans="1:15" ht="102" hidden="1">
      <c r="A990" s="757" t="s">
        <v>368</v>
      </c>
      <c r="B990" s="863" t="s">
        <v>619</v>
      </c>
      <c r="C990" s="101"/>
      <c r="D990" s="776"/>
      <c r="E990" s="632"/>
      <c r="F990" s="632"/>
      <c r="G990" s="292"/>
      <c r="N990" s="633"/>
      <c r="O990" s="633"/>
    </row>
    <row r="991" spans="1:15" ht="25.5" hidden="1">
      <c r="A991" s="757"/>
      <c r="B991" s="854" t="s">
        <v>620</v>
      </c>
      <c r="C991" s="6" t="s">
        <v>47</v>
      </c>
      <c r="D991" s="862">
        <v>0</v>
      </c>
      <c r="E991" s="89"/>
      <c r="F991" s="7">
        <f>D991*E991</f>
        <v>0</v>
      </c>
      <c r="G991" s="292">
        <v>235</v>
      </c>
      <c r="N991" s="633"/>
      <c r="O991" s="633"/>
    </row>
    <row r="992" spans="1:15" ht="12.75" hidden="1">
      <c r="A992" s="757"/>
      <c r="B992" s="854" t="s">
        <v>618</v>
      </c>
      <c r="C992" s="6" t="s">
        <v>47</v>
      </c>
      <c r="D992" s="862">
        <v>0</v>
      </c>
      <c r="E992" s="89"/>
      <c r="F992" s="7">
        <f>D992*E992</f>
        <v>0</v>
      </c>
      <c r="G992" s="292">
        <v>52</v>
      </c>
      <c r="N992" s="633"/>
      <c r="O992" s="633"/>
    </row>
    <row r="993" spans="1:15" ht="25.5" hidden="1">
      <c r="A993" s="757"/>
      <c r="B993" s="854" t="s">
        <v>621</v>
      </c>
      <c r="C993" s="6" t="s">
        <v>47</v>
      </c>
      <c r="D993" s="862">
        <v>0</v>
      </c>
      <c r="E993" s="89"/>
      <c r="F993" s="7">
        <f>D993*E993</f>
        <v>0</v>
      </c>
      <c r="G993" s="292">
        <v>46</v>
      </c>
      <c r="N993" s="633"/>
      <c r="O993" s="633"/>
    </row>
    <row r="994" spans="1:15" ht="25.5" hidden="1">
      <c r="A994" s="757"/>
      <c r="B994" s="854" t="s">
        <v>622</v>
      </c>
      <c r="C994" s="6" t="s">
        <v>47</v>
      </c>
      <c r="D994" s="862">
        <v>0</v>
      </c>
      <c r="E994" s="89"/>
      <c r="F994" s="7">
        <f>D994*E994</f>
        <v>0</v>
      </c>
      <c r="G994" s="292">
        <v>97</v>
      </c>
      <c r="N994" s="633"/>
      <c r="O994" s="633"/>
    </row>
    <row r="995" spans="1:15" ht="12.75" hidden="1">
      <c r="A995" s="757"/>
      <c r="B995" s="854"/>
      <c r="C995" s="6"/>
      <c r="D995" s="862"/>
      <c r="E995" s="89"/>
      <c r="F995" s="7"/>
      <c r="G995" s="292"/>
      <c r="N995" s="633"/>
      <c r="O995" s="633"/>
    </row>
    <row r="996" spans="1:15" ht="140.25" hidden="1">
      <c r="A996" s="757" t="s">
        <v>339</v>
      </c>
      <c r="B996" s="859" t="s">
        <v>608</v>
      </c>
      <c r="C996" s="101" t="s">
        <v>142</v>
      </c>
      <c r="D996" s="776">
        <v>0</v>
      </c>
      <c r="E996" s="89"/>
      <c r="F996" s="632">
        <f>D996*E996</f>
        <v>0</v>
      </c>
      <c r="G996" s="292">
        <v>290</v>
      </c>
      <c r="N996" s="633"/>
      <c r="O996" s="633"/>
    </row>
    <row r="997" spans="1:15" ht="12.75" hidden="1">
      <c r="A997" s="757"/>
      <c r="B997" s="775"/>
      <c r="C997" s="101"/>
      <c r="D997" s="776"/>
      <c r="E997" s="632"/>
      <c r="F997" s="632"/>
      <c r="G997" s="292"/>
      <c r="N997" s="633"/>
      <c r="O997" s="633"/>
    </row>
    <row r="998" spans="1:15" ht="12.75">
      <c r="A998" s="757"/>
      <c r="B998" s="775"/>
      <c r="C998" s="101"/>
      <c r="D998" s="776"/>
      <c r="E998" s="632"/>
      <c r="F998" s="632"/>
      <c r="G998" s="292"/>
      <c r="N998" s="633"/>
      <c r="O998" s="633"/>
    </row>
    <row r="999" spans="1:15" ht="140.25">
      <c r="A999" s="757" t="s">
        <v>368</v>
      </c>
      <c r="B999" s="711" t="s">
        <v>623</v>
      </c>
      <c r="C999" s="697"/>
      <c r="D999" s="852"/>
      <c r="E999" s="69"/>
      <c r="F999" s="7"/>
      <c r="G999" s="292"/>
      <c r="N999" s="633"/>
      <c r="O999" s="633"/>
    </row>
    <row r="1000" spans="1:15" ht="12.75">
      <c r="A1000" s="757"/>
      <c r="B1000" s="853"/>
      <c r="C1000" s="6" t="s">
        <v>142</v>
      </c>
      <c r="D1000" s="852">
        <v>1</v>
      </c>
      <c r="E1000" s="89"/>
      <c r="F1000" s="632">
        <f>E1000*D1000</f>
        <v>0</v>
      </c>
      <c r="G1000" s="296">
        <v>195</v>
      </c>
      <c r="N1000" s="633">
        <f>E1000*1.2</f>
        <v>0</v>
      </c>
      <c r="O1000" s="633">
        <f>N1000*D1000</f>
        <v>0</v>
      </c>
    </row>
    <row r="1001" spans="1:15" ht="12.75" hidden="1">
      <c r="A1001" s="757"/>
      <c r="B1001" s="775"/>
      <c r="C1001" s="101"/>
      <c r="D1001" s="776"/>
      <c r="E1001" s="632"/>
      <c r="F1001" s="632"/>
      <c r="G1001" s="292"/>
      <c r="N1001" s="633"/>
      <c r="O1001" s="633"/>
    </row>
    <row r="1002" spans="1:15" ht="76.5" hidden="1">
      <c r="A1002" s="757" t="s">
        <v>380</v>
      </c>
      <c r="B1002" s="711" t="s">
        <v>624</v>
      </c>
      <c r="C1002" s="697"/>
      <c r="D1002" s="852"/>
      <c r="E1002" s="69"/>
      <c r="F1002" s="7"/>
      <c r="G1002" s="292"/>
      <c r="N1002" s="633"/>
      <c r="O1002" s="633"/>
    </row>
    <row r="1003" spans="1:15" ht="12.75" hidden="1">
      <c r="A1003" s="757"/>
      <c r="B1003" s="853" t="s">
        <v>625</v>
      </c>
      <c r="C1003" s="6" t="s">
        <v>142</v>
      </c>
      <c r="D1003" s="852">
        <v>0</v>
      </c>
      <c r="E1003" s="89"/>
      <c r="F1003" s="632">
        <f>D1003*E1003</f>
        <v>0</v>
      </c>
      <c r="G1003" s="292">
        <v>72</v>
      </c>
      <c r="N1003" s="633"/>
      <c r="O1003" s="633"/>
    </row>
    <row r="1004" spans="1:15" ht="12.75" hidden="1">
      <c r="A1004" s="757"/>
      <c r="B1004" s="853" t="s">
        <v>590</v>
      </c>
      <c r="C1004" s="6" t="s">
        <v>142</v>
      </c>
      <c r="D1004" s="852">
        <v>0</v>
      </c>
      <c r="E1004" s="89"/>
      <c r="F1004" s="7">
        <f>D1004*E1004</f>
        <v>0</v>
      </c>
      <c r="G1004" s="292">
        <v>10.5</v>
      </c>
      <c r="N1004" s="633"/>
      <c r="O1004" s="633"/>
    </row>
    <row r="1005" spans="1:15" ht="12.75" hidden="1">
      <c r="A1005" s="757"/>
      <c r="B1005" s="775"/>
      <c r="C1005" s="101"/>
      <c r="D1005" s="776"/>
      <c r="E1005" s="632"/>
      <c r="F1005" s="632"/>
      <c r="G1005" s="292"/>
      <c r="N1005" s="633"/>
      <c r="O1005" s="633"/>
    </row>
    <row r="1006" spans="1:15" ht="102" hidden="1">
      <c r="A1006" s="757" t="s">
        <v>380</v>
      </c>
      <c r="B1006" s="711" t="s">
        <v>626</v>
      </c>
      <c r="C1006" s="712" t="s">
        <v>47</v>
      </c>
      <c r="D1006" s="776">
        <v>0</v>
      </c>
      <c r="E1006" s="89"/>
      <c r="F1006" s="632">
        <f>D1006*E1006</f>
        <v>0</v>
      </c>
      <c r="G1006" s="292">
        <v>240</v>
      </c>
      <c r="N1006" s="633"/>
      <c r="O1006" s="633"/>
    </row>
    <row r="1007" spans="1:15" ht="12.75">
      <c r="A1007" s="757"/>
      <c r="B1007" s="711"/>
      <c r="C1007" s="712"/>
      <c r="D1007" s="776"/>
      <c r="E1007" s="632"/>
      <c r="F1007" s="632"/>
      <c r="G1007" s="292"/>
      <c r="N1007" s="633"/>
      <c r="O1007" s="633"/>
    </row>
    <row r="1008" spans="1:15" ht="191.25" hidden="1">
      <c r="A1008" s="757" t="s">
        <v>380</v>
      </c>
      <c r="B1008" s="848" t="s">
        <v>627</v>
      </c>
      <c r="C1008" s="101" t="s">
        <v>142</v>
      </c>
      <c r="D1008" s="776">
        <v>0</v>
      </c>
      <c r="E1008" s="89"/>
      <c r="F1008" s="632">
        <f>D1008*E1008</f>
        <v>0</v>
      </c>
      <c r="G1008" s="292">
        <v>140</v>
      </c>
      <c r="N1008" s="633"/>
      <c r="O1008" s="633"/>
    </row>
    <row r="1009" spans="1:15" ht="12.75" hidden="1">
      <c r="A1009" s="757"/>
      <c r="B1009" s="775"/>
      <c r="C1009" s="101"/>
      <c r="D1009" s="776"/>
      <c r="E1009" s="632"/>
      <c r="F1009" s="632"/>
      <c r="G1009" s="292"/>
      <c r="N1009" s="633"/>
      <c r="O1009" s="633"/>
    </row>
    <row r="1010" spans="1:15" ht="89.25" hidden="1">
      <c r="A1010" s="757" t="s">
        <v>405</v>
      </c>
      <c r="B1010" s="711" t="s">
        <v>628</v>
      </c>
      <c r="C1010" s="712" t="s">
        <v>47</v>
      </c>
      <c r="D1010" s="776">
        <v>0</v>
      </c>
      <c r="E1010" s="632"/>
      <c r="F1010" s="632">
        <f>D1010*E1010</f>
        <v>0</v>
      </c>
      <c r="G1010" s="292"/>
      <c r="N1010" s="633"/>
      <c r="O1010" s="633"/>
    </row>
    <row r="1011" spans="1:15" ht="12.75" hidden="1">
      <c r="A1011" s="757"/>
      <c r="B1011" s="711"/>
      <c r="C1011" s="712"/>
      <c r="D1011" s="776"/>
      <c r="E1011" s="632"/>
      <c r="F1011" s="632"/>
      <c r="G1011" s="292"/>
      <c r="N1011" s="633"/>
      <c r="O1011" s="633"/>
    </row>
    <row r="1012" spans="1:15" ht="63.75" hidden="1">
      <c r="A1012" s="757" t="s">
        <v>339</v>
      </c>
      <c r="B1012" s="711" t="s">
        <v>629</v>
      </c>
      <c r="C1012" s="712"/>
      <c r="D1012" s="776"/>
      <c r="E1012" s="632"/>
      <c r="F1012" s="632"/>
      <c r="G1012" s="292"/>
      <c r="N1012" s="633"/>
      <c r="O1012" s="633"/>
    </row>
    <row r="1013" spans="1:15" ht="12.75" hidden="1">
      <c r="A1013" s="757"/>
      <c r="B1013" s="775" t="s">
        <v>630</v>
      </c>
      <c r="C1013" s="697"/>
      <c r="D1013" s="799"/>
      <c r="E1013" s="89"/>
      <c r="F1013" s="89"/>
      <c r="G1013" s="292"/>
      <c r="N1013" s="633"/>
      <c r="O1013" s="633"/>
    </row>
    <row r="1014" spans="1:15" ht="12.75" hidden="1">
      <c r="A1014" s="757"/>
      <c r="B1014" s="711" t="s">
        <v>631</v>
      </c>
      <c r="C1014" s="101" t="s">
        <v>142</v>
      </c>
      <c r="D1014" s="776">
        <v>0</v>
      </c>
      <c r="E1014" s="89"/>
      <c r="F1014" s="89">
        <f>D1014*E1014</f>
        <v>0</v>
      </c>
      <c r="G1014" s="296">
        <v>175</v>
      </c>
      <c r="N1014" s="633"/>
      <c r="O1014" s="633"/>
    </row>
    <row r="1015" spans="1:15" ht="12.75" hidden="1">
      <c r="A1015" s="757"/>
      <c r="B1015" s="711"/>
      <c r="C1015" s="712"/>
      <c r="D1015" s="776"/>
      <c r="E1015" s="632"/>
      <c r="F1015" s="632"/>
      <c r="G1015" s="292"/>
      <c r="N1015" s="633"/>
      <c r="O1015" s="633"/>
    </row>
    <row r="1016" spans="1:15" ht="51" hidden="1">
      <c r="A1016" s="757" t="s">
        <v>394</v>
      </c>
      <c r="B1016" s="775" t="s">
        <v>632</v>
      </c>
      <c r="C1016" s="712"/>
      <c r="D1016" s="776"/>
      <c r="E1016" s="632"/>
      <c r="F1016" s="632"/>
      <c r="G1016" s="292"/>
      <c r="N1016" s="633"/>
      <c r="O1016" s="633"/>
    </row>
    <row r="1017" spans="1:15" ht="12.75" hidden="1">
      <c r="A1017" s="757"/>
      <c r="B1017" s="775" t="s">
        <v>630</v>
      </c>
      <c r="C1017" s="101" t="s">
        <v>142</v>
      </c>
      <c r="D1017" s="776">
        <v>0</v>
      </c>
      <c r="E1017" s="89"/>
      <c r="F1017" s="89">
        <f>D1017*E1017</f>
        <v>0</v>
      </c>
      <c r="G1017" s="296">
        <v>110</v>
      </c>
      <c r="N1017" s="633"/>
      <c r="O1017" s="633"/>
    </row>
    <row r="1018" spans="1:15" ht="12.75" hidden="1">
      <c r="A1018" s="757"/>
      <c r="B1018" s="775"/>
      <c r="C1018" s="101"/>
      <c r="D1018" s="776"/>
      <c r="E1018" s="89"/>
      <c r="F1018" s="89"/>
      <c r="G1018" s="296"/>
      <c r="N1018" s="633"/>
      <c r="O1018" s="633"/>
    </row>
    <row r="1019" spans="1:15" ht="89.25" hidden="1">
      <c r="A1019" s="757" t="s">
        <v>342</v>
      </c>
      <c r="B1019" s="711" t="s">
        <v>633</v>
      </c>
      <c r="C1019" s="712"/>
      <c r="D1019" s="776"/>
      <c r="E1019" s="632"/>
      <c r="F1019" s="632"/>
      <c r="G1019" s="292"/>
      <c r="N1019" s="633"/>
      <c r="O1019" s="633"/>
    </row>
    <row r="1020" spans="1:15" ht="12.75" hidden="1">
      <c r="A1020" s="757"/>
      <c r="B1020" s="775" t="s">
        <v>634</v>
      </c>
      <c r="C1020" s="101" t="s">
        <v>142</v>
      </c>
      <c r="D1020" s="776">
        <v>0</v>
      </c>
      <c r="E1020" s="89"/>
      <c r="F1020" s="89">
        <f>D1020*E1020</f>
        <v>0</v>
      </c>
      <c r="G1020" s="296">
        <v>190</v>
      </c>
      <c r="N1020" s="633"/>
      <c r="O1020" s="633"/>
    </row>
    <row r="1021" spans="1:15" ht="12.75" hidden="1">
      <c r="A1021" s="757"/>
      <c r="B1021" s="177"/>
      <c r="C1021" s="712"/>
      <c r="D1021" s="776"/>
      <c r="E1021" s="632"/>
      <c r="F1021" s="632"/>
      <c r="G1021" s="292"/>
      <c r="N1021" s="633"/>
      <c r="O1021" s="633"/>
    </row>
    <row r="1022" spans="1:15" ht="102" hidden="1">
      <c r="A1022" s="755">
        <v>6</v>
      </c>
      <c r="B1022" s="711" t="s">
        <v>635</v>
      </c>
      <c r="C1022" s="697"/>
      <c r="D1022" s="799"/>
      <c r="E1022" s="89"/>
      <c r="F1022" s="89"/>
      <c r="G1022" s="292"/>
      <c r="N1022" s="633"/>
      <c r="O1022" s="633"/>
    </row>
    <row r="1023" spans="1:15" ht="12.75" hidden="1">
      <c r="A1023" s="755"/>
      <c r="B1023" s="711" t="s">
        <v>636</v>
      </c>
      <c r="C1023" s="712" t="s">
        <v>47</v>
      </c>
      <c r="D1023" s="776">
        <v>0</v>
      </c>
      <c r="E1023" s="89"/>
      <c r="F1023" s="89">
        <f>D1023*E1023</f>
        <v>0</v>
      </c>
      <c r="G1023" s="296">
        <v>200</v>
      </c>
      <c r="N1023" s="633"/>
      <c r="O1023" s="633"/>
    </row>
    <row r="1024" spans="1:15" ht="12.75" hidden="1">
      <c r="A1024" s="755"/>
      <c r="B1024" s="711" t="s">
        <v>637</v>
      </c>
      <c r="C1024" s="712" t="s">
        <v>47</v>
      </c>
      <c r="D1024" s="776">
        <v>0</v>
      </c>
      <c r="E1024" s="89"/>
      <c r="F1024" s="89">
        <f>D1024*E1024</f>
        <v>0</v>
      </c>
      <c r="G1024" s="296">
        <v>230</v>
      </c>
      <c r="N1024" s="633"/>
      <c r="O1024" s="633"/>
    </row>
    <row r="1025" spans="1:15" ht="12.75" hidden="1">
      <c r="A1025" s="755"/>
      <c r="B1025" s="711" t="s">
        <v>638</v>
      </c>
      <c r="C1025" s="712" t="s">
        <v>47</v>
      </c>
      <c r="D1025" s="776">
        <v>0</v>
      </c>
      <c r="E1025" s="89"/>
      <c r="F1025" s="89">
        <f>D1025*E1025</f>
        <v>0</v>
      </c>
      <c r="G1025" s="296">
        <v>200</v>
      </c>
      <c r="N1025" s="633"/>
      <c r="O1025" s="633"/>
    </row>
    <row r="1026" spans="1:15" ht="12.75" hidden="1">
      <c r="A1026" s="755"/>
      <c r="B1026" s="711"/>
      <c r="C1026" s="712"/>
      <c r="D1026" s="776"/>
      <c r="E1026" s="632"/>
      <c r="F1026" s="632"/>
      <c r="G1026" s="292"/>
      <c r="N1026" s="633"/>
      <c r="O1026" s="633"/>
    </row>
    <row r="1027" spans="1:15" ht="102" hidden="1">
      <c r="A1027" s="755">
        <v>10</v>
      </c>
      <c r="B1027" s="711" t="s">
        <v>639</v>
      </c>
      <c r="C1027" s="125"/>
      <c r="D1027" s="799"/>
      <c r="E1027" s="89"/>
      <c r="F1027" s="89"/>
      <c r="G1027" s="292"/>
      <c r="N1027" s="633"/>
      <c r="O1027" s="633"/>
    </row>
    <row r="1028" spans="1:15" ht="12.75" hidden="1">
      <c r="A1028" s="755"/>
      <c r="B1028" s="711" t="s">
        <v>636</v>
      </c>
      <c r="C1028" s="712" t="s">
        <v>47</v>
      </c>
      <c r="D1028" s="776">
        <v>0</v>
      </c>
      <c r="E1028" s="89"/>
      <c r="F1028" s="89">
        <f>D1028*E1028</f>
        <v>0</v>
      </c>
      <c r="G1028" s="296">
        <v>250</v>
      </c>
      <c r="N1028" s="633"/>
      <c r="O1028" s="633"/>
    </row>
    <row r="1029" spans="1:15" ht="12.75" hidden="1">
      <c r="A1029" s="755"/>
      <c r="B1029" s="711" t="s">
        <v>637</v>
      </c>
      <c r="C1029" s="712" t="s">
        <v>47</v>
      </c>
      <c r="D1029" s="776">
        <v>0</v>
      </c>
      <c r="E1029" s="89"/>
      <c r="F1029" s="89">
        <f>D1029*E1029</f>
        <v>0</v>
      </c>
      <c r="G1029" s="296">
        <v>280</v>
      </c>
      <c r="N1029" s="633"/>
      <c r="O1029" s="633"/>
    </row>
    <row r="1030" spans="1:15" ht="12.75" hidden="1">
      <c r="A1030" s="755"/>
      <c r="B1030" s="711" t="s">
        <v>638</v>
      </c>
      <c r="C1030" s="712" t="s">
        <v>47</v>
      </c>
      <c r="D1030" s="776">
        <v>0</v>
      </c>
      <c r="E1030" s="89"/>
      <c r="F1030" s="89">
        <f>D1030*E1030</f>
        <v>0</v>
      </c>
      <c r="G1030" s="296">
        <v>310</v>
      </c>
      <c r="N1030" s="633"/>
      <c r="O1030" s="633"/>
    </row>
    <row r="1031" spans="1:15" ht="12.75" hidden="1">
      <c r="A1031" s="755"/>
      <c r="B1031" s="711"/>
      <c r="C1031" s="712"/>
      <c r="D1031" s="776"/>
      <c r="E1031" s="632"/>
      <c r="F1031" s="632"/>
      <c r="G1031" s="292"/>
      <c r="N1031" s="633"/>
      <c r="O1031" s="633"/>
    </row>
    <row r="1032" spans="1:15" ht="127.5" hidden="1">
      <c r="A1032" s="755">
        <v>11</v>
      </c>
      <c r="B1032" s="711" t="s">
        <v>640</v>
      </c>
      <c r="C1032" s="125"/>
      <c r="D1032" s="799"/>
      <c r="E1032" s="89"/>
      <c r="F1032" s="89"/>
      <c r="G1032" s="292"/>
      <c r="N1032" s="633"/>
      <c r="O1032" s="633"/>
    </row>
    <row r="1033" spans="1:15" ht="12.75" hidden="1">
      <c r="A1033" s="755"/>
      <c r="B1033" s="711" t="s">
        <v>638</v>
      </c>
      <c r="C1033" s="712" t="s">
        <v>47</v>
      </c>
      <c r="D1033" s="776">
        <v>0</v>
      </c>
      <c r="E1033" s="89"/>
      <c r="F1033" s="89">
        <f>D1033*E1033</f>
        <v>0</v>
      </c>
      <c r="G1033" s="296">
        <v>370</v>
      </c>
      <c r="N1033" s="633"/>
      <c r="O1033" s="633"/>
    </row>
    <row r="1034" spans="1:15" ht="12.75" hidden="1">
      <c r="A1034" s="755"/>
      <c r="B1034" s="711"/>
      <c r="C1034" s="712"/>
      <c r="D1034" s="776"/>
      <c r="E1034" s="89"/>
      <c r="F1034" s="89"/>
      <c r="G1034" s="296"/>
      <c r="N1034" s="633"/>
      <c r="O1034" s="633"/>
    </row>
    <row r="1035" spans="1:15" ht="102" hidden="1">
      <c r="A1035" s="755">
        <v>11</v>
      </c>
      <c r="B1035" s="711" t="s">
        <v>641</v>
      </c>
      <c r="C1035" s="125"/>
      <c r="D1035" s="799"/>
      <c r="E1035" s="89"/>
      <c r="F1035" s="89"/>
      <c r="G1035" s="292"/>
      <c r="N1035" s="633"/>
      <c r="O1035" s="633"/>
    </row>
    <row r="1036" spans="1:15" ht="25.5" hidden="1">
      <c r="A1036" s="755"/>
      <c r="B1036" s="711" t="s">
        <v>642</v>
      </c>
      <c r="C1036" s="712" t="s">
        <v>47</v>
      </c>
      <c r="D1036" s="776">
        <v>0</v>
      </c>
      <c r="E1036" s="89"/>
      <c r="F1036" s="89">
        <f>D1036*E1036</f>
        <v>0</v>
      </c>
      <c r="G1036" s="296">
        <v>3700</v>
      </c>
      <c r="N1036" s="633"/>
      <c r="O1036" s="633"/>
    </row>
    <row r="1037" spans="1:15" ht="12.75" hidden="1">
      <c r="A1037" s="755"/>
      <c r="B1037" s="711"/>
      <c r="C1037" s="712"/>
      <c r="D1037" s="776"/>
      <c r="E1037" s="632"/>
      <c r="F1037" s="632"/>
      <c r="G1037" s="292"/>
      <c r="N1037" s="633"/>
      <c r="O1037" s="633"/>
    </row>
    <row r="1038" spans="1:15" ht="63.75">
      <c r="A1038" s="755">
        <v>8</v>
      </c>
      <c r="B1038" s="711" t="s">
        <v>643</v>
      </c>
      <c r="C1038" s="697"/>
      <c r="D1038" s="799"/>
      <c r="E1038" s="89"/>
      <c r="F1038" s="89"/>
      <c r="G1038" s="292"/>
      <c r="N1038" s="633"/>
      <c r="O1038" s="633"/>
    </row>
    <row r="1039" spans="1:15" ht="12.75">
      <c r="A1039" s="755"/>
      <c r="B1039" s="711" t="s">
        <v>644</v>
      </c>
      <c r="C1039" s="712" t="s">
        <v>47</v>
      </c>
      <c r="D1039" s="776">
        <v>8</v>
      </c>
      <c r="E1039" s="89"/>
      <c r="F1039" s="632">
        <f>E1039*D1039</f>
        <v>0</v>
      </c>
      <c r="G1039" s="292">
        <v>70</v>
      </c>
      <c r="N1039" s="633">
        <f>E1039*1.2</f>
        <v>0</v>
      </c>
      <c r="O1039" s="633">
        <f>N1039*D1039</f>
        <v>0</v>
      </c>
    </row>
    <row r="1040" spans="1:15" ht="12.75">
      <c r="A1040" s="755"/>
      <c r="B1040" s="711" t="s">
        <v>645</v>
      </c>
      <c r="C1040" s="712" t="s">
        <v>47</v>
      </c>
      <c r="D1040" s="776">
        <v>1</v>
      </c>
      <c r="E1040" s="89"/>
      <c r="F1040" s="632">
        <f>E1040*D1040</f>
        <v>0</v>
      </c>
      <c r="G1040" s="292">
        <v>90</v>
      </c>
      <c r="N1040" s="633">
        <f>E1040*1.2</f>
        <v>0</v>
      </c>
      <c r="O1040" s="633">
        <f>N1040*D1040</f>
        <v>0</v>
      </c>
    </row>
    <row r="1041" spans="1:15" ht="12.75">
      <c r="A1041" s="757"/>
      <c r="B1041" s="711"/>
      <c r="C1041" s="712"/>
      <c r="D1041" s="776"/>
      <c r="E1041" s="632"/>
      <c r="F1041" s="632"/>
      <c r="G1041" s="292"/>
      <c r="N1041" s="633"/>
      <c r="O1041" s="633"/>
    </row>
    <row r="1042" spans="1:15" ht="63.75">
      <c r="A1042" s="755">
        <v>9</v>
      </c>
      <c r="B1042" s="711" t="s">
        <v>646</v>
      </c>
      <c r="C1042" s="712" t="s">
        <v>47</v>
      </c>
      <c r="D1042" s="776">
        <v>1</v>
      </c>
      <c r="E1042" s="89"/>
      <c r="F1042" s="632">
        <f>E1042*D1042</f>
        <v>0</v>
      </c>
      <c r="G1042" s="292">
        <v>70</v>
      </c>
      <c r="N1042" s="633">
        <f>E1042*1.2</f>
        <v>0</v>
      </c>
      <c r="O1042" s="633">
        <f>N1042*D1042</f>
        <v>0</v>
      </c>
    </row>
    <row r="1043" spans="1:15" ht="12.75">
      <c r="A1043" s="757"/>
      <c r="B1043" s="711"/>
      <c r="C1043" s="712"/>
      <c r="D1043" s="776"/>
      <c r="E1043" s="632"/>
      <c r="F1043" s="632"/>
      <c r="G1043" s="292"/>
      <c r="N1043" s="633"/>
      <c r="O1043" s="633"/>
    </row>
    <row r="1044" spans="1:15" ht="12.75">
      <c r="A1044" s="757"/>
      <c r="B1044" s="711"/>
      <c r="C1044" s="712"/>
      <c r="D1044" s="776"/>
      <c r="E1044" s="632"/>
      <c r="F1044" s="632"/>
      <c r="G1044" s="292"/>
      <c r="N1044" s="633"/>
      <c r="O1044" s="633"/>
    </row>
    <row r="1045" spans="1:15" ht="66" customHeight="1">
      <c r="A1045" s="757" t="s">
        <v>394</v>
      </c>
      <c r="B1045" s="860" t="s">
        <v>647</v>
      </c>
      <c r="C1045" s="855" t="s">
        <v>142</v>
      </c>
      <c r="D1045" s="799">
        <v>9</v>
      </c>
      <c r="E1045" s="89"/>
      <c r="F1045" s="632">
        <f>E1045*D1045</f>
        <v>0</v>
      </c>
      <c r="G1045" s="292">
        <v>50</v>
      </c>
      <c r="N1045" s="633">
        <f>E1045*1.2</f>
        <v>0</v>
      </c>
      <c r="O1045" s="633">
        <f>N1045*D1045</f>
        <v>0</v>
      </c>
    </row>
    <row r="1046" spans="1:15" ht="12.75">
      <c r="A1046" s="757"/>
      <c r="B1046" s="711"/>
      <c r="C1046" s="712"/>
      <c r="D1046" s="776"/>
      <c r="E1046" s="632"/>
      <c r="F1046" s="632"/>
      <c r="G1046" s="292"/>
      <c r="N1046" s="633"/>
      <c r="O1046" s="633"/>
    </row>
    <row r="1047" spans="1:15" ht="12.75">
      <c r="A1047" s="757"/>
      <c r="B1047" s="711"/>
      <c r="C1047" s="712"/>
      <c r="D1047" s="776"/>
      <c r="E1047" s="632"/>
      <c r="F1047" s="632"/>
      <c r="G1047" s="292"/>
      <c r="N1047" s="633"/>
      <c r="O1047" s="633"/>
    </row>
    <row r="1048" spans="1:15" ht="38.25">
      <c r="A1048" s="757" t="s">
        <v>344</v>
      </c>
      <c r="B1048" s="714" t="s">
        <v>648</v>
      </c>
      <c r="C1048" s="855" t="s">
        <v>142</v>
      </c>
      <c r="D1048" s="856">
        <v>1</v>
      </c>
      <c r="E1048" s="69"/>
      <c r="F1048" s="632">
        <f>E1048*D1048</f>
        <v>0</v>
      </c>
      <c r="G1048" s="292"/>
      <c r="N1048" s="633">
        <f>E1048*1.2</f>
        <v>0</v>
      </c>
      <c r="O1048" s="633">
        <f>N1048*D1048</f>
        <v>0</v>
      </c>
    </row>
    <row r="1049" spans="1:15" ht="12.75" hidden="1">
      <c r="A1049" s="757"/>
      <c r="B1049" s="714"/>
      <c r="C1049" s="855"/>
      <c r="D1049" s="856"/>
      <c r="E1049" s="69"/>
      <c r="F1049" s="632"/>
      <c r="G1049" s="292"/>
      <c r="N1049" s="633"/>
      <c r="O1049" s="633"/>
    </row>
    <row r="1050" spans="1:15" ht="38.25" hidden="1">
      <c r="A1050" s="757" t="s">
        <v>420</v>
      </c>
      <c r="B1050" s="714" t="s">
        <v>649</v>
      </c>
      <c r="C1050" s="855" t="s">
        <v>142</v>
      </c>
      <c r="D1050" s="856">
        <v>0</v>
      </c>
      <c r="E1050" s="89"/>
      <c r="F1050" s="632">
        <f>D1050*E1050</f>
        <v>0</v>
      </c>
      <c r="G1050" s="292">
        <v>10</v>
      </c>
      <c r="N1050" s="633"/>
      <c r="O1050" s="633"/>
    </row>
    <row r="1051" spans="1:15" ht="12.75" hidden="1">
      <c r="A1051" s="757"/>
      <c r="B1051" s="711"/>
      <c r="C1051" s="712"/>
      <c r="D1051" s="776"/>
      <c r="E1051" s="632"/>
      <c r="F1051" s="632"/>
      <c r="G1051" s="292"/>
      <c r="N1051" s="633"/>
      <c r="O1051" s="633"/>
    </row>
    <row r="1052" spans="1:15" ht="63.75" hidden="1">
      <c r="A1052" s="757" t="s">
        <v>394</v>
      </c>
      <c r="B1052" s="714" t="s">
        <v>650</v>
      </c>
      <c r="C1052" s="697"/>
      <c r="D1052" s="799"/>
      <c r="E1052" s="89"/>
      <c r="F1052" s="89"/>
      <c r="G1052" s="292"/>
      <c r="N1052" s="633"/>
      <c r="O1052" s="633"/>
    </row>
    <row r="1053" spans="1:15" ht="12.75" hidden="1">
      <c r="A1053" s="757"/>
      <c r="B1053" s="714" t="s">
        <v>651</v>
      </c>
      <c r="C1053" s="855" t="s">
        <v>142</v>
      </c>
      <c r="D1053" s="856">
        <v>0</v>
      </c>
      <c r="E1053" s="89"/>
      <c r="F1053" s="632">
        <f>D1053*E1053</f>
        <v>0</v>
      </c>
      <c r="G1053" s="292">
        <v>30</v>
      </c>
      <c r="N1053" s="633"/>
      <c r="O1053" s="633"/>
    </row>
    <row r="1054" spans="1:15" ht="12.75" hidden="1">
      <c r="A1054" s="757"/>
      <c r="B1054" s="711"/>
      <c r="C1054" s="712"/>
      <c r="D1054" s="776"/>
      <c r="E1054" s="632"/>
      <c r="F1054" s="632"/>
      <c r="G1054" s="292"/>
      <c r="N1054" s="633"/>
      <c r="O1054" s="633"/>
    </row>
    <row r="1055" spans="1:15" ht="102" hidden="1">
      <c r="A1055" s="757" t="s">
        <v>652</v>
      </c>
      <c r="B1055" s="711" t="s">
        <v>653</v>
      </c>
      <c r="C1055" s="697"/>
      <c r="D1055" s="799"/>
      <c r="E1055" s="89"/>
      <c r="F1055" s="89"/>
      <c r="G1055" s="292"/>
      <c r="N1055" s="633"/>
      <c r="O1055" s="633"/>
    </row>
    <row r="1056" spans="1:15" ht="12.75" hidden="1">
      <c r="A1056" s="757"/>
      <c r="B1056" s="714"/>
      <c r="C1056" s="855" t="s">
        <v>142</v>
      </c>
      <c r="D1056" s="856">
        <v>60</v>
      </c>
      <c r="E1056" s="89"/>
      <c r="F1056" s="632">
        <f>D1056*E1056</f>
        <v>0</v>
      </c>
      <c r="G1056" s="292">
        <v>53</v>
      </c>
      <c r="N1056" s="633"/>
      <c r="O1056" s="633"/>
    </row>
    <row r="1057" spans="1:15" ht="12.75" hidden="1">
      <c r="A1057" s="757"/>
      <c r="B1057" s="711"/>
      <c r="C1057" s="712"/>
      <c r="D1057" s="776"/>
      <c r="E1057" s="632"/>
      <c r="F1057" s="632"/>
      <c r="G1057" s="292"/>
      <c r="N1057" s="633"/>
      <c r="O1057" s="633"/>
    </row>
    <row r="1058" spans="1:15" ht="76.5" hidden="1">
      <c r="A1058" s="757" t="s">
        <v>380</v>
      </c>
      <c r="B1058" s="711" t="s">
        <v>654</v>
      </c>
      <c r="C1058" s="712" t="s">
        <v>47</v>
      </c>
      <c r="D1058" s="776">
        <v>0</v>
      </c>
      <c r="E1058" s="632"/>
      <c r="F1058" s="632">
        <f>D1058*E1058</f>
        <v>0</v>
      </c>
      <c r="G1058" s="292"/>
      <c r="N1058" s="633"/>
      <c r="O1058" s="633"/>
    </row>
    <row r="1059" spans="1:15" ht="12.75" hidden="1">
      <c r="A1059" s="757"/>
      <c r="B1059" s="711"/>
      <c r="C1059" s="712"/>
      <c r="D1059" s="776"/>
      <c r="E1059" s="632"/>
      <c r="F1059" s="632"/>
      <c r="G1059" s="292"/>
      <c r="N1059" s="633"/>
      <c r="O1059" s="633"/>
    </row>
    <row r="1060" spans="1:15" ht="76.5" hidden="1">
      <c r="A1060" s="757" t="s">
        <v>405</v>
      </c>
      <c r="B1060" s="711" t="s">
        <v>655</v>
      </c>
      <c r="C1060" s="712" t="s">
        <v>47</v>
      </c>
      <c r="D1060" s="776">
        <v>0</v>
      </c>
      <c r="E1060" s="632"/>
      <c r="F1060" s="632">
        <f>D1060*E1060</f>
        <v>0</v>
      </c>
      <c r="G1060" s="292"/>
      <c r="N1060" s="633"/>
      <c r="O1060" s="633"/>
    </row>
    <row r="1061" spans="1:15" ht="12.75">
      <c r="A1061" s="757"/>
      <c r="B1061" s="711"/>
      <c r="C1061" s="712"/>
      <c r="D1061" s="776"/>
      <c r="E1061" s="632"/>
      <c r="F1061" s="632"/>
      <c r="G1061" s="292"/>
      <c r="N1061" s="633"/>
      <c r="O1061" s="633"/>
    </row>
    <row r="1062" spans="1:15" ht="76.5" hidden="1">
      <c r="A1062" s="745" t="s">
        <v>656</v>
      </c>
      <c r="B1062" s="594" t="s">
        <v>657</v>
      </c>
      <c r="C1062" s="698" t="s">
        <v>47</v>
      </c>
      <c r="D1062" s="799">
        <v>0</v>
      </c>
      <c r="E1062" s="89"/>
      <c r="F1062" s="89">
        <f>D1062*E1062</f>
        <v>0</v>
      </c>
      <c r="G1062" s="292">
        <v>75</v>
      </c>
      <c r="N1062" s="633"/>
      <c r="O1062" s="633"/>
    </row>
    <row r="1063" spans="1:15" ht="12.75" hidden="1">
      <c r="A1063" s="745"/>
      <c r="B1063" s="594"/>
      <c r="C1063" s="698"/>
      <c r="D1063" s="799"/>
      <c r="E1063" s="89"/>
      <c r="F1063" s="89"/>
      <c r="G1063" s="292"/>
      <c r="N1063" s="633"/>
      <c r="O1063" s="633"/>
    </row>
    <row r="1064" spans="1:15" s="39" customFormat="1" ht="76.5" hidden="1">
      <c r="A1064" s="745" t="s">
        <v>411</v>
      </c>
      <c r="B1064" s="594" t="s">
        <v>658</v>
      </c>
      <c r="C1064" s="698" t="s">
        <v>47</v>
      </c>
      <c r="D1064" s="799">
        <v>0</v>
      </c>
      <c r="E1064" s="89"/>
      <c r="F1064" s="89">
        <f>D1064*E1064</f>
        <v>0</v>
      </c>
      <c r="G1064" s="292"/>
      <c r="N1064" s="89"/>
      <c r="O1064" s="89"/>
    </row>
    <row r="1065" spans="1:15" s="39" customFormat="1" ht="12.75" hidden="1">
      <c r="A1065" s="745"/>
      <c r="B1065" s="594"/>
      <c r="C1065" s="698"/>
      <c r="D1065" s="799"/>
      <c r="E1065" s="89"/>
      <c r="F1065" s="89"/>
      <c r="G1065" s="292"/>
      <c r="N1065" s="89"/>
      <c r="O1065" s="89"/>
    </row>
    <row r="1066" spans="1:15" s="39" customFormat="1" ht="63.75" hidden="1">
      <c r="A1066" s="745" t="s">
        <v>344</v>
      </c>
      <c r="B1066" s="594" t="s">
        <v>659</v>
      </c>
      <c r="C1066" s="698" t="s">
        <v>47</v>
      </c>
      <c r="D1066" s="799">
        <v>0</v>
      </c>
      <c r="E1066" s="89"/>
      <c r="F1066" s="89">
        <f>D1066*E1066</f>
        <v>0</v>
      </c>
      <c r="G1066" s="292">
        <v>70</v>
      </c>
      <c r="N1066" s="89"/>
      <c r="O1066" s="89"/>
    </row>
    <row r="1067" spans="1:15" s="39" customFormat="1" ht="12.75" hidden="1">
      <c r="A1067" s="745"/>
      <c r="B1067" s="594"/>
      <c r="C1067" s="698"/>
      <c r="D1067" s="799"/>
      <c r="E1067" s="89"/>
      <c r="F1067" s="89"/>
      <c r="G1067" s="292"/>
      <c r="N1067" s="89"/>
      <c r="O1067" s="89"/>
    </row>
    <row r="1068" spans="1:15" s="39" customFormat="1" ht="63.75" hidden="1">
      <c r="A1068" s="745" t="s">
        <v>660</v>
      </c>
      <c r="B1068" s="594" t="s">
        <v>661</v>
      </c>
      <c r="C1068" s="698" t="s">
        <v>47</v>
      </c>
      <c r="D1068" s="799">
        <v>0</v>
      </c>
      <c r="E1068" s="89"/>
      <c r="F1068" s="89">
        <f>D1068*E1068</f>
        <v>0</v>
      </c>
      <c r="G1068" s="315">
        <v>125</v>
      </c>
      <c r="N1068" s="89"/>
      <c r="O1068" s="89"/>
    </row>
    <row r="1069" spans="1:15" s="39" customFormat="1" ht="12.75" hidden="1">
      <c r="A1069" s="745"/>
      <c r="B1069" s="594"/>
      <c r="C1069" s="698"/>
      <c r="D1069" s="799"/>
      <c r="E1069" s="89"/>
      <c r="F1069" s="89"/>
      <c r="G1069" s="315"/>
      <c r="N1069" s="89"/>
      <c r="O1069" s="89"/>
    </row>
    <row r="1070" spans="1:15" s="39" customFormat="1" ht="51" hidden="1">
      <c r="A1070" s="745" t="s">
        <v>522</v>
      </c>
      <c r="B1070" s="594" t="s">
        <v>662</v>
      </c>
      <c r="C1070" s="698" t="s">
        <v>47</v>
      </c>
      <c r="D1070" s="799">
        <v>0</v>
      </c>
      <c r="E1070" s="89"/>
      <c r="F1070" s="89">
        <f>D1070*E1070</f>
        <v>0</v>
      </c>
      <c r="G1070" s="315">
        <v>250</v>
      </c>
      <c r="N1070" s="89"/>
      <c r="O1070" s="89"/>
    </row>
    <row r="1071" spans="1:15" s="39" customFormat="1" ht="12.75" hidden="1">
      <c r="A1071" s="745"/>
      <c r="B1071" s="594"/>
      <c r="C1071" s="698"/>
      <c r="D1071" s="799"/>
      <c r="E1071" s="89"/>
      <c r="F1071" s="89"/>
      <c r="N1071" s="89"/>
      <c r="O1071" s="89"/>
    </row>
    <row r="1072" spans="1:15" s="39" customFormat="1" ht="89.25">
      <c r="A1072" s="691">
        <v>12</v>
      </c>
      <c r="B1072" s="594" t="s">
        <v>663</v>
      </c>
      <c r="C1072" s="712" t="s">
        <v>47</v>
      </c>
      <c r="D1072" s="776">
        <v>8</v>
      </c>
      <c r="E1072" s="89"/>
      <c r="F1072" s="632">
        <f>E1072*D1072</f>
        <v>0</v>
      </c>
      <c r="G1072" s="315">
        <v>20</v>
      </c>
      <c r="N1072" s="633">
        <f>E1072*1.2</f>
        <v>0</v>
      </c>
      <c r="O1072" s="633">
        <f>N1072*D1072</f>
        <v>0</v>
      </c>
    </row>
    <row r="1073" spans="1:15" s="39" customFormat="1" ht="12.75" hidden="1">
      <c r="A1073" s="691"/>
      <c r="B1073" s="177"/>
      <c r="C1073" s="125"/>
      <c r="D1073" s="799"/>
      <c r="E1073" s="89"/>
      <c r="F1073" s="89"/>
      <c r="G1073" s="315"/>
      <c r="N1073" s="89"/>
      <c r="O1073" s="89"/>
    </row>
    <row r="1074" spans="1:15" s="39" customFormat="1" ht="76.5" hidden="1">
      <c r="A1074" s="691">
        <v>15</v>
      </c>
      <c r="B1074" s="594" t="s">
        <v>664</v>
      </c>
      <c r="C1074" s="712" t="s">
        <v>47</v>
      </c>
      <c r="D1074" s="776">
        <v>0</v>
      </c>
      <c r="E1074" s="89"/>
      <c r="F1074" s="89">
        <f>D1074*E1074</f>
        <v>0</v>
      </c>
      <c r="G1074" s="296">
        <v>250</v>
      </c>
      <c r="N1074" s="89"/>
      <c r="O1074" s="89"/>
    </row>
    <row r="1075" spans="1:15" s="39" customFormat="1" ht="12.75" hidden="1">
      <c r="A1075" s="691"/>
      <c r="B1075" s="177"/>
      <c r="C1075" s="125"/>
      <c r="D1075" s="799"/>
      <c r="E1075" s="89"/>
      <c r="F1075" s="89"/>
      <c r="G1075" s="315"/>
      <c r="N1075" s="89"/>
      <c r="O1075" s="89"/>
    </row>
    <row r="1076" spans="1:15" s="39" customFormat="1" ht="127.5" hidden="1">
      <c r="A1076" s="691">
        <v>12</v>
      </c>
      <c r="B1076" s="594" t="s">
        <v>665</v>
      </c>
      <c r="C1076" s="712" t="s">
        <v>47</v>
      </c>
      <c r="D1076" s="776">
        <v>0</v>
      </c>
      <c r="E1076" s="89"/>
      <c r="F1076" s="89">
        <f>D1076*E1076</f>
        <v>0</v>
      </c>
      <c r="G1076" s="315">
        <v>100</v>
      </c>
      <c r="N1076" s="89"/>
      <c r="O1076" s="89"/>
    </row>
    <row r="1077" spans="1:15" s="39" customFormat="1" ht="12.75" hidden="1">
      <c r="A1077" s="691"/>
      <c r="B1077" s="804"/>
      <c r="C1077" s="712"/>
      <c r="D1077" s="776"/>
      <c r="E1077" s="632"/>
      <c r="F1077" s="89"/>
      <c r="G1077" s="315"/>
      <c r="N1077" s="89"/>
      <c r="O1077" s="89"/>
    </row>
    <row r="1078" spans="1:15" s="39" customFormat="1" ht="38.25" hidden="1">
      <c r="A1078" s="755">
        <v>12</v>
      </c>
      <c r="B1078" s="692" t="s">
        <v>666</v>
      </c>
      <c r="C1078" s="86" t="s">
        <v>142</v>
      </c>
      <c r="D1078" s="799">
        <v>0</v>
      </c>
      <c r="E1078" s="632"/>
      <c r="F1078" s="89">
        <f>D1078*E1078</f>
        <v>0</v>
      </c>
      <c r="G1078" s="315"/>
      <c r="N1078" s="89"/>
      <c r="O1078" s="89"/>
    </row>
    <row r="1079" spans="1:15" ht="12.75">
      <c r="A1079" s="694"/>
      <c r="B1079" s="692"/>
      <c r="C1079" s="697"/>
      <c r="D1079" s="799"/>
      <c r="E1079" s="89"/>
      <c r="F1079" s="89"/>
      <c r="G1079" s="315"/>
      <c r="N1079" s="633"/>
      <c r="O1079" s="633"/>
    </row>
    <row r="1080" spans="1:15" ht="114.75">
      <c r="A1080" s="745" t="s">
        <v>417</v>
      </c>
      <c r="B1080" s="693" t="s">
        <v>667</v>
      </c>
      <c r="C1080" s="698"/>
      <c r="D1080" s="799"/>
      <c r="E1080" s="89"/>
      <c r="F1080" s="89"/>
      <c r="G1080" s="315"/>
      <c r="N1080" s="633"/>
      <c r="O1080" s="633"/>
    </row>
    <row r="1081" spans="1:15" ht="12.75">
      <c r="A1081" s="8"/>
      <c r="B1081" s="850" t="s">
        <v>668</v>
      </c>
      <c r="C1081" s="6" t="s">
        <v>47</v>
      </c>
      <c r="D1081" s="851">
        <v>8</v>
      </c>
      <c r="E1081" s="89"/>
      <c r="F1081" s="632">
        <f aca="true" t="shared" si="22" ref="F1081:F1087">E1081*D1081</f>
        <v>0</v>
      </c>
      <c r="G1081" s="292">
        <v>32</v>
      </c>
      <c r="N1081" s="633">
        <f aca="true" t="shared" si="23" ref="N1081:N1087">E1081*1.2</f>
        <v>0</v>
      </c>
      <c r="O1081" s="633">
        <f aca="true" t="shared" si="24" ref="O1081:O1087">N1081*D1081</f>
        <v>0</v>
      </c>
    </row>
    <row r="1082" spans="1:15" ht="12.75">
      <c r="A1082" s="8"/>
      <c r="B1082" s="850" t="s">
        <v>669</v>
      </c>
      <c r="C1082" s="6" t="s">
        <v>47</v>
      </c>
      <c r="D1082" s="851">
        <v>8</v>
      </c>
      <c r="E1082" s="89"/>
      <c r="F1082" s="632">
        <f t="shared" si="22"/>
        <v>0</v>
      </c>
      <c r="G1082" s="292">
        <v>50</v>
      </c>
      <c r="N1082" s="633">
        <f t="shared" si="23"/>
        <v>0</v>
      </c>
      <c r="O1082" s="633">
        <f t="shared" si="24"/>
        <v>0</v>
      </c>
    </row>
    <row r="1083" spans="1:15" ht="12.75">
      <c r="A1083" s="8"/>
      <c r="B1083" s="850" t="s">
        <v>670</v>
      </c>
      <c r="C1083" s="6" t="s">
        <v>47</v>
      </c>
      <c r="D1083" s="851">
        <v>8</v>
      </c>
      <c r="E1083" s="89"/>
      <c r="F1083" s="632">
        <f t="shared" si="22"/>
        <v>0</v>
      </c>
      <c r="G1083" s="292">
        <v>35</v>
      </c>
      <c r="N1083" s="633">
        <f t="shared" si="23"/>
        <v>0</v>
      </c>
      <c r="O1083" s="633">
        <f t="shared" si="24"/>
        <v>0</v>
      </c>
    </row>
    <row r="1084" spans="1:15" ht="12.75" hidden="1">
      <c r="A1084" s="8"/>
      <c r="B1084" s="125" t="s">
        <v>671</v>
      </c>
      <c r="C1084" s="6" t="s">
        <v>47</v>
      </c>
      <c r="D1084" s="851">
        <v>0</v>
      </c>
      <c r="E1084" s="89"/>
      <c r="F1084" s="632">
        <f t="shared" si="22"/>
        <v>0</v>
      </c>
      <c r="G1084" s="292">
        <v>60</v>
      </c>
      <c r="N1084" s="633">
        <f t="shared" si="23"/>
        <v>0</v>
      </c>
      <c r="O1084" s="633">
        <f t="shared" si="24"/>
        <v>0</v>
      </c>
    </row>
    <row r="1085" spans="1:15" ht="12.75">
      <c r="A1085" s="8"/>
      <c r="B1085" s="125" t="s">
        <v>672</v>
      </c>
      <c r="C1085" s="6" t="s">
        <v>47</v>
      </c>
      <c r="D1085" s="851">
        <v>8</v>
      </c>
      <c r="E1085" s="89"/>
      <c r="F1085" s="632">
        <f t="shared" si="22"/>
        <v>0</v>
      </c>
      <c r="G1085" s="292">
        <v>15</v>
      </c>
      <c r="N1085" s="633">
        <f t="shared" si="23"/>
        <v>0</v>
      </c>
      <c r="O1085" s="633">
        <f t="shared" si="24"/>
        <v>0</v>
      </c>
    </row>
    <row r="1086" spans="1:15" ht="12.75">
      <c r="A1086" s="8"/>
      <c r="B1086" s="850" t="s">
        <v>673</v>
      </c>
      <c r="C1086" s="6" t="s">
        <v>47</v>
      </c>
      <c r="D1086" s="851">
        <v>8</v>
      </c>
      <c r="E1086" s="89"/>
      <c r="F1086" s="632">
        <f t="shared" si="22"/>
        <v>0</v>
      </c>
      <c r="G1086" s="292">
        <v>20</v>
      </c>
      <c r="N1086" s="633">
        <f t="shared" si="23"/>
        <v>0</v>
      </c>
      <c r="O1086" s="633">
        <f t="shared" si="24"/>
        <v>0</v>
      </c>
    </row>
    <row r="1087" spans="1:15" ht="12.75">
      <c r="A1087" s="8"/>
      <c r="B1087" s="850" t="s">
        <v>674</v>
      </c>
      <c r="C1087" s="6" t="s">
        <v>47</v>
      </c>
      <c r="D1087" s="851">
        <v>8</v>
      </c>
      <c r="E1087" s="89"/>
      <c r="F1087" s="632">
        <f t="shared" si="22"/>
        <v>0</v>
      </c>
      <c r="G1087" s="292">
        <v>6</v>
      </c>
      <c r="N1087" s="633">
        <f t="shared" si="23"/>
        <v>0</v>
      </c>
      <c r="O1087" s="633">
        <f t="shared" si="24"/>
        <v>0</v>
      </c>
    </row>
    <row r="1088" spans="1:15" ht="12.75">
      <c r="A1088" s="8"/>
      <c r="B1088" s="850"/>
      <c r="C1088" s="6"/>
      <c r="D1088" s="851"/>
      <c r="E1088" s="69"/>
      <c r="F1088" s="7"/>
      <c r="G1088" s="292"/>
      <c r="N1088" s="633"/>
      <c r="O1088" s="633"/>
    </row>
    <row r="1089" spans="1:15" ht="63.75" hidden="1">
      <c r="A1089" s="864">
        <v>14</v>
      </c>
      <c r="B1089" s="865" t="s">
        <v>675</v>
      </c>
      <c r="C1089" s="6" t="s">
        <v>47</v>
      </c>
      <c r="D1089" s="851">
        <v>0</v>
      </c>
      <c r="E1089" s="69">
        <v>35000</v>
      </c>
      <c r="F1089" s="7">
        <f>D1089*E1089</f>
        <v>0</v>
      </c>
      <c r="G1089" s="292"/>
      <c r="N1089" s="633"/>
      <c r="O1089" s="633"/>
    </row>
    <row r="1090" spans="1:15" ht="12.75" hidden="1">
      <c r="A1090" s="745"/>
      <c r="B1090" s="693"/>
      <c r="C1090" s="698"/>
      <c r="D1090" s="799"/>
      <c r="E1090" s="89"/>
      <c r="F1090" s="89"/>
      <c r="G1090" s="292"/>
      <c r="N1090" s="633"/>
      <c r="O1090" s="633"/>
    </row>
    <row r="1091" spans="1:15" ht="63.75" hidden="1">
      <c r="A1091" s="691">
        <v>10</v>
      </c>
      <c r="B1091" s="594" t="s">
        <v>676</v>
      </c>
      <c r="C1091" s="698" t="s">
        <v>47</v>
      </c>
      <c r="D1091" s="799">
        <v>0</v>
      </c>
      <c r="E1091" s="89">
        <v>1600</v>
      </c>
      <c r="F1091" s="89">
        <f>D1091*E1091</f>
        <v>0</v>
      </c>
      <c r="G1091" s="292"/>
      <c r="N1091" s="633"/>
      <c r="O1091" s="633"/>
    </row>
    <row r="1092" spans="1:15" ht="12.75" hidden="1">
      <c r="A1092" s="691"/>
      <c r="B1092" s="594"/>
      <c r="C1092" s="698"/>
      <c r="D1092" s="799"/>
      <c r="E1092" s="89"/>
      <c r="F1092" s="89"/>
      <c r="G1092" s="292"/>
      <c r="N1092" s="633"/>
      <c r="O1092" s="633"/>
    </row>
    <row r="1093" spans="1:15" ht="63.75" hidden="1">
      <c r="A1093" s="691">
        <v>11</v>
      </c>
      <c r="B1093" s="594" t="s">
        <v>677</v>
      </c>
      <c r="C1093" s="698" t="s">
        <v>47</v>
      </c>
      <c r="D1093" s="799">
        <v>0</v>
      </c>
      <c r="E1093" s="89">
        <v>1200</v>
      </c>
      <c r="F1093" s="89">
        <f>D1093*E1093</f>
        <v>0</v>
      </c>
      <c r="G1093" s="292"/>
      <c r="N1093" s="633"/>
      <c r="O1093" s="633"/>
    </row>
    <row r="1094" spans="1:15" ht="12.75">
      <c r="A1094" s="691"/>
      <c r="B1094" s="594"/>
      <c r="C1094" s="698"/>
      <c r="D1094" s="799"/>
      <c r="E1094" s="89"/>
      <c r="F1094" s="89"/>
      <c r="G1094" s="292"/>
      <c r="N1094" s="633"/>
      <c r="O1094" s="633"/>
    </row>
    <row r="1095" spans="1:15" ht="38.25" hidden="1">
      <c r="A1095" s="691">
        <v>22</v>
      </c>
      <c r="B1095" s="684" t="s">
        <v>678</v>
      </c>
      <c r="C1095" s="698" t="s">
        <v>47</v>
      </c>
      <c r="D1095" s="799">
        <v>0</v>
      </c>
      <c r="E1095" s="89">
        <f>G1095*$I$3</f>
        <v>720</v>
      </c>
      <c r="F1095" s="89">
        <f>D1095*E1095</f>
        <v>0</v>
      </c>
      <c r="G1095" s="292">
        <v>6</v>
      </c>
      <c r="N1095" s="633"/>
      <c r="O1095" s="633"/>
    </row>
    <row r="1096" spans="1:15" ht="12.75" hidden="1">
      <c r="A1096" s="691"/>
      <c r="B1096" s="594"/>
      <c r="C1096" s="698"/>
      <c r="D1096" s="799"/>
      <c r="E1096" s="89"/>
      <c r="F1096" s="89"/>
      <c r="G1096" s="292"/>
      <c r="N1096" s="633"/>
      <c r="O1096" s="633"/>
    </row>
    <row r="1097" spans="1:15" ht="38.25" hidden="1">
      <c r="A1097" s="755">
        <v>15</v>
      </c>
      <c r="B1097" s="692" t="s">
        <v>679</v>
      </c>
      <c r="C1097" s="86" t="s">
        <v>142</v>
      </c>
      <c r="D1097" s="799">
        <v>0</v>
      </c>
      <c r="E1097" s="89">
        <f>G1097*$I$3</f>
        <v>1800</v>
      </c>
      <c r="F1097" s="89">
        <f>D1097*E1097</f>
        <v>0</v>
      </c>
      <c r="G1097" s="292">
        <v>15</v>
      </c>
      <c r="N1097" s="633"/>
      <c r="O1097" s="633"/>
    </row>
    <row r="1098" spans="1:15" ht="12.75" hidden="1">
      <c r="A1098" s="694"/>
      <c r="B1098" s="125"/>
      <c r="C1098" s="125"/>
      <c r="D1098" s="799"/>
      <c r="E1098" s="89"/>
      <c r="F1098" s="633"/>
      <c r="G1098" s="292"/>
      <c r="N1098" s="633"/>
      <c r="O1098" s="633"/>
    </row>
    <row r="1099" spans="1:15" ht="51" hidden="1">
      <c r="A1099" s="691">
        <v>12</v>
      </c>
      <c r="B1099" s="594" t="s">
        <v>680</v>
      </c>
      <c r="C1099" s="698" t="s">
        <v>47</v>
      </c>
      <c r="D1099" s="799">
        <v>0</v>
      </c>
      <c r="E1099" s="89">
        <v>1200</v>
      </c>
      <c r="F1099" s="89">
        <f>D1099*E1099</f>
        <v>0</v>
      </c>
      <c r="G1099" s="292"/>
      <c r="N1099" s="633"/>
      <c r="O1099" s="633"/>
    </row>
    <row r="1100" spans="1:15" ht="12.75" hidden="1">
      <c r="A1100" s="691"/>
      <c r="B1100" s="594"/>
      <c r="C1100" s="698"/>
      <c r="D1100" s="799"/>
      <c r="E1100" s="89"/>
      <c r="F1100" s="89"/>
      <c r="G1100" s="292"/>
      <c r="N1100" s="633"/>
      <c r="O1100" s="633"/>
    </row>
    <row r="1101" spans="1:15" ht="25.5" hidden="1">
      <c r="A1101" s="691">
        <v>13</v>
      </c>
      <c r="B1101" s="692" t="s">
        <v>681</v>
      </c>
      <c r="C1101" s="86"/>
      <c r="D1101" s="799"/>
      <c r="E1101" s="89"/>
      <c r="F1101" s="89"/>
      <c r="G1101" s="292"/>
      <c r="N1101" s="633"/>
      <c r="O1101" s="633"/>
    </row>
    <row r="1102" spans="1:15" ht="12.75" hidden="1">
      <c r="A1102" s="691"/>
      <c r="B1102" s="125" t="s">
        <v>682</v>
      </c>
      <c r="C1102" s="86" t="s">
        <v>350</v>
      </c>
      <c r="D1102" s="799">
        <v>0</v>
      </c>
      <c r="E1102" s="89">
        <v>5500</v>
      </c>
      <c r="F1102" s="89">
        <f>D1102*E1102</f>
        <v>0</v>
      </c>
      <c r="G1102" s="292"/>
      <c r="N1102" s="633"/>
      <c r="O1102" s="633"/>
    </row>
    <row r="1103" spans="1:15" ht="12.75" hidden="1">
      <c r="A1103" s="691"/>
      <c r="B1103" s="594"/>
      <c r="C1103" s="698"/>
      <c r="D1103" s="799"/>
      <c r="E1103" s="89"/>
      <c r="F1103" s="89"/>
      <c r="G1103" s="292"/>
      <c r="N1103" s="633"/>
      <c r="O1103" s="633"/>
    </row>
    <row r="1104" spans="1:15" ht="51" hidden="1">
      <c r="A1104" s="691">
        <v>13</v>
      </c>
      <c r="B1104" s="594" t="s">
        <v>683</v>
      </c>
      <c r="C1104" s="698" t="s">
        <v>47</v>
      </c>
      <c r="D1104" s="799">
        <v>0</v>
      </c>
      <c r="E1104" s="89">
        <v>1600</v>
      </c>
      <c r="F1104" s="89">
        <f>D1104*E1104</f>
        <v>0</v>
      </c>
      <c r="G1104" s="292"/>
      <c r="N1104" s="633"/>
      <c r="O1104" s="633"/>
    </row>
    <row r="1105" spans="1:15" ht="12.75" hidden="1">
      <c r="A1105" s="691"/>
      <c r="B1105" s="594"/>
      <c r="C1105" s="698"/>
      <c r="D1105" s="799"/>
      <c r="E1105" s="89"/>
      <c r="F1105" s="89"/>
      <c r="G1105" s="292"/>
      <c r="N1105" s="633"/>
      <c r="O1105" s="633"/>
    </row>
    <row r="1106" spans="1:15" ht="63.75" hidden="1">
      <c r="A1106" s="691">
        <v>14</v>
      </c>
      <c r="B1106" s="594" t="s">
        <v>684</v>
      </c>
      <c r="C1106" s="698" t="s">
        <v>47</v>
      </c>
      <c r="D1106" s="799">
        <v>0</v>
      </c>
      <c r="E1106" s="89">
        <v>2100</v>
      </c>
      <c r="F1106" s="89">
        <f>D1106*E1106</f>
        <v>0</v>
      </c>
      <c r="G1106" s="292"/>
      <c r="N1106" s="633"/>
      <c r="O1106" s="633"/>
    </row>
    <row r="1107" spans="1:15" ht="12.75" hidden="1">
      <c r="A1107" s="691"/>
      <c r="B1107" s="594"/>
      <c r="C1107" s="698"/>
      <c r="D1107" s="799"/>
      <c r="E1107" s="89"/>
      <c r="F1107" s="89"/>
      <c r="G1107" s="292"/>
      <c r="N1107" s="633"/>
      <c r="O1107" s="633"/>
    </row>
    <row r="1108" spans="1:15" ht="63.75" hidden="1">
      <c r="A1108" s="691">
        <v>15</v>
      </c>
      <c r="B1108" s="866" t="s">
        <v>685</v>
      </c>
      <c r="C1108" s="86" t="s">
        <v>142</v>
      </c>
      <c r="D1108" s="799">
        <v>0</v>
      </c>
      <c r="E1108" s="89">
        <v>750</v>
      </c>
      <c r="F1108" s="89">
        <f>D1108*E1108</f>
        <v>0</v>
      </c>
      <c r="G1108" s="292"/>
      <c r="N1108" s="633"/>
      <c r="O1108" s="633"/>
    </row>
    <row r="1109" spans="1:15" ht="12.75" hidden="1">
      <c r="A1109" s="867"/>
      <c r="B1109" s="697"/>
      <c r="C1109" s="697"/>
      <c r="D1109" s="799"/>
      <c r="E1109" s="633"/>
      <c r="F1109" s="633"/>
      <c r="G1109" s="292"/>
      <c r="N1109" s="633"/>
      <c r="O1109" s="633"/>
    </row>
    <row r="1110" spans="1:15" ht="12.75">
      <c r="A1110" s="868" t="s">
        <v>735</v>
      </c>
      <c r="B1110" s="1230" t="s">
        <v>686</v>
      </c>
      <c r="C1110" s="1230"/>
      <c r="D1110" s="1230"/>
      <c r="E1110" s="869"/>
      <c r="F1110" s="869">
        <f>SUM(F939+F953+F954+F955+F957+F960+F961+F962+F972+F975+F1000+F1039+F1040+F1042+F1045+F1048+F1072+F1081+F1082+F1083+F1085+F1086+F1087)</f>
        <v>0</v>
      </c>
      <c r="G1110" s="292"/>
      <c r="N1110" s="869"/>
      <c r="O1110" s="869">
        <f>SUM(O939:O1087)</f>
        <v>0</v>
      </c>
    </row>
    <row r="1111" spans="1:15" s="306" customFormat="1" ht="12.75">
      <c r="A1111" s="870"/>
      <c r="B1111" s="871"/>
      <c r="C1111" s="871"/>
      <c r="D1111" s="871"/>
      <c r="E1111" s="645"/>
      <c r="F1111" s="645"/>
      <c r="G1111" s="305"/>
      <c r="N1111" s="636"/>
      <c r="O1111" s="636"/>
    </row>
    <row r="1112" spans="1:15" s="322" customFormat="1" ht="12.75">
      <c r="A1112" s="888" t="s">
        <v>736</v>
      </c>
      <c r="B1112" s="889" t="s">
        <v>156</v>
      </c>
      <c r="C1112" s="890"/>
      <c r="D1112" s="891"/>
      <c r="E1112" s="892"/>
      <c r="F1112" s="892"/>
      <c r="G1112" s="893"/>
      <c r="H1112" s="893"/>
      <c r="I1112" s="894"/>
      <c r="J1112" s="894"/>
      <c r="K1112" s="894"/>
      <c r="L1112" s="894"/>
      <c r="M1112" s="894"/>
      <c r="N1112" s="895"/>
      <c r="O1112" s="895"/>
    </row>
    <row r="1113" spans="1:15" s="322" customFormat="1" ht="12.75" hidden="1">
      <c r="A1113" s="872"/>
      <c r="B1113" s="873"/>
      <c r="C1113" s="874"/>
      <c r="D1113" s="875"/>
      <c r="E1113" s="876"/>
      <c r="F1113" s="876"/>
      <c r="G1113" s="321"/>
      <c r="H1113" s="321"/>
      <c r="N1113" s="637"/>
      <c r="O1113" s="637"/>
    </row>
    <row r="1114" spans="1:15" s="322" customFormat="1" ht="12.75" hidden="1">
      <c r="A1114" s="877" t="s">
        <v>688</v>
      </c>
      <c r="B1114" s="878" t="s">
        <v>737</v>
      </c>
      <c r="C1114" s="879"/>
      <c r="D1114" s="875"/>
      <c r="E1114" s="876"/>
      <c r="F1114" s="876">
        <v>0</v>
      </c>
      <c r="G1114" s="321"/>
      <c r="H1114" s="321"/>
      <c r="N1114" s="637"/>
      <c r="O1114" s="637"/>
    </row>
    <row r="1115" spans="1:15" s="322" customFormat="1" ht="12.75">
      <c r="A1115" s="872"/>
      <c r="B1115" s="873"/>
      <c r="C1115" s="874"/>
      <c r="D1115" s="875"/>
      <c r="E1115" s="876"/>
      <c r="F1115" s="876"/>
      <c r="G1115" s="321"/>
      <c r="H1115" s="321"/>
      <c r="N1115" s="637"/>
      <c r="O1115" s="637"/>
    </row>
    <row r="1116" spans="1:15" s="322" customFormat="1" ht="12.75">
      <c r="A1116" s="877" t="s">
        <v>687</v>
      </c>
      <c r="B1116" s="878" t="s">
        <v>738</v>
      </c>
      <c r="C1116" s="879"/>
      <c r="D1116" s="875"/>
      <c r="E1116" s="876"/>
      <c r="F1116" s="876">
        <f>F591</f>
        <v>0</v>
      </c>
      <c r="G1116" s="321" t="e">
        <f>F1116/$G$1/$H$1</f>
        <v>#DIV/0!</v>
      </c>
      <c r="H1116" s="321"/>
      <c r="N1116" s="637"/>
      <c r="O1116" s="637">
        <f>O591</f>
        <v>0</v>
      </c>
    </row>
    <row r="1117" spans="1:15" s="322" customFormat="1" ht="12.75">
      <c r="A1117" s="880"/>
      <c r="B1117" s="881"/>
      <c r="C1117" s="882"/>
      <c r="D1117" s="883"/>
      <c r="E1117" s="884"/>
      <c r="F1117" s="884"/>
      <c r="G1117" s="321"/>
      <c r="H1117" s="321"/>
      <c r="N1117" s="637"/>
      <c r="O1117" s="637"/>
    </row>
    <row r="1118" spans="1:15" s="322" customFormat="1" ht="12.75">
      <c r="A1118" s="880" t="s">
        <v>732</v>
      </c>
      <c r="B1118" s="881" t="s">
        <v>739</v>
      </c>
      <c r="C1118" s="882"/>
      <c r="D1118" s="883"/>
      <c r="E1118" s="884"/>
      <c r="F1118" s="884">
        <f>F703</f>
        <v>0</v>
      </c>
      <c r="G1118" s="321" t="e">
        <f>F1118/$G$1/$H$1</f>
        <v>#DIV/0!</v>
      </c>
      <c r="H1118" s="321"/>
      <c r="N1118" s="637"/>
      <c r="O1118" s="637">
        <f>O703</f>
        <v>0</v>
      </c>
    </row>
    <row r="1119" spans="1:15" s="322" customFormat="1" ht="12.75">
      <c r="A1119" s="880"/>
      <c r="B1119" s="881"/>
      <c r="C1119" s="882"/>
      <c r="D1119" s="883"/>
      <c r="E1119" s="884"/>
      <c r="F1119" s="884"/>
      <c r="G1119" s="321"/>
      <c r="H1119" s="321"/>
      <c r="N1119" s="637"/>
      <c r="O1119" s="637"/>
    </row>
    <row r="1120" spans="1:15" s="322" customFormat="1" ht="12.75">
      <c r="A1120" s="880" t="s">
        <v>733</v>
      </c>
      <c r="B1120" s="881" t="s">
        <v>740</v>
      </c>
      <c r="C1120" s="882"/>
      <c r="D1120" s="883"/>
      <c r="E1120" s="884"/>
      <c r="F1120" s="884">
        <f>F869</f>
        <v>0</v>
      </c>
      <c r="G1120" s="321" t="e">
        <f>F1120/$G$1/$H$1</f>
        <v>#DIV/0!</v>
      </c>
      <c r="H1120" s="321"/>
      <c r="N1120" s="637"/>
      <c r="O1120" s="637">
        <f>O869</f>
        <v>0</v>
      </c>
    </row>
    <row r="1121" spans="1:15" s="322" customFormat="1" ht="12.75">
      <c r="A1121" s="880"/>
      <c r="B1121" s="881"/>
      <c r="C1121" s="882"/>
      <c r="D1121" s="883"/>
      <c r="E1121" s="884"/>
      <c r="F1121" s="884"/>
      <c r="G1121" s="321"/>
      <c r="H1121" s="321"/>
      <c r="N1121" s="637"/>
      <c r="O1121" s="637"/>
    </row>
    <row r="1122" spans="1:15" s="322" customFormat="1" ht="12.75">
      <c r="A1122" s="880" t="s">
        <v>734</v>
      </c>
      <c r="B1122" s="881" t="s">
        <v>741</v>
      </c>
      <c r="C1122" s="882"/>
      <c r="D1122" s="883"/>
      <c r="E1122" s="884"/>
      <c r="F1122" s="884">
        <f>F933</f>
        <v>0</v>
      </c>
      <c r="G1122" s="321" t="e">
        <f>F1122/$G$1/$H$1</f>
        <v>#DIV/0!</v>
      </c>
      <c r="H1122" s="321"/>
      <c r="N1122" s="637"/>
      <c r="O1122" s="637">
        <f>O933</f>
        <v>0</v>
      </c>
    </row>
    <row r="1123" spans="1:15" s="322" customFormat="1" ht="12.75">
      <c r="A1123" s="880"/>
      <c r="B1123" s="881"/>
      <c r="C1123" s="882"/>
      <c r="D1123" s="883"/>
      <c r="E1123" s="884"/>
      <c r="F1123" s="884"/>
      <c r="G1123" s="321"/>
      <c r="H1123" s="321"/>
      <c r="N1123" s="637"/>
      <c r="O1123" s="637"/>
    </row>
    <row r="1124" spans="1:15" s="322" customFormat="1" ht="12.75">
      <c r="A1124" s="880" t="s">
        <v>735</v>
      </c>
      <c r="B1124" s="881" t="s">
        <v>742</v>
      </c>
      <c r="C1124" s="882"/>
      <c r="D1124" s="883"/>
      <c r="E1124" s="884"/>
      <c r="F1124" s="884">
        <f>F1110</f>
        <v>0</v>
      </c>
      <c r="G1124" s="321" t="e">
        <f>F1124/$G$1/$H$1</f>
        <v>#DIV/0!</v>
      </c>
      <c r="H1124" s="321"/>
      <c r="N1124" s="637"/>
      <c r="O1124" s="637">
        <f>O1110</f>
        <v>0</v>
      </c>
    </row>
    <row r="1125" spans="1:15" s="322" customFormat="1" ht="12.75">
      <c r="A1125" s="885"/>
      <c r="B1125" s="886"/>
      <c r="C1125" s="886"/>
      <c r="D1125" s="887"/>
      <c r="E1125" s="637"/>
      <c r="F1125" s="637"/>
      <c r="G1125" s="323"/>
      <c r="H1125" s="321"/>
      <c r="N1125" s="637"/>
      <c r="O1125" s="637"/>
    </row>
    <row r="1126" spans="1:15" s="322" customFormat="1" ht="12.75">
      <c r="A1126" s="896" t="s">
        <v>736</v>
      </c>
      <c r="B1126" s="1231" t="s">
        <v>156</v>
      </c>
      <c r="C1126" s="1231"/>
      <c r="D1126" s="1231"/>
      <c r="E1126" s="897"/>
      <c r="F1126" s="897">
        <f>SUM(F1113:F1124)</f>
        <v>0</v>
      </c>
      <c r="G1126" s="893"/>
      <c r="H1126" s="893"/>
      <c r="I1126" s="894"/>
      <c r="J1126" s="894"/>
      <c r="K1126" s="894"/>
      <c r="L1126" s="894"/>
      <c r="M1126" s="894"/>
      <c r="N1126" s="895"/>
      <c r="O1126" s="897">
        <f>SUM(O1116:O1124)</f>
        <v>0</v>
      </c>
    </row>
    <row r="1127" spans="1:15" s="328" customFormat="1" ht="12.75">
      <c r="A1127" s="324"/>
      <c r="B1127" s="325"/>
      <c r="C1127" s="325"/>
      <c r="D1127" s="325"/>
      <c r="E1127" s="326"/>
      <c r="F1127" s="326"/>
      <c r="G1127" s="327"/>
      <c r="H1127" s="327"/>
      <c r="N1127" s="638"/>
      <c r="O1127" s="638"/>
    </row>
    <row r="1128" spans="1:15" ht="30" customHeight="1">
      <c r="A1128" s="1197" t="s">
        <v>743</v>
      </c>
      <c r="B1128" s="1197"/>
      <c r="C1128" s="1197"/>
      <c r="D1128" s="1197"/>
      <c r="E1128" s="1197"/>
      <c r="F1128" s="1109"/>
      <c r="G1128" s="38" t="s">
        <v>0</v>
      </c>
      <c r="H1128" s="38">
        <v>122</v>
      </c>
      <c r="N1128" s="89"/>
      <c r="O1128" s="89"/>
    </row>
    <row r="1129" spans="1:15" ht="30" customHeight="1">
      <c r="A1129" s="287"/>
      <c r="B1129" s="287"/>
      <c r="C1129" s="287"/>
      <c r="D1129" s="287"/>
      <c r="E1129" s="287"/>
      <c r="F1129" s="287"/>
      <c r="N1129" s="89"/>
      <c r="O1129" s="89"/>
    </row>
    <row r="1130" spans="1:15" s="332" customFormat="1" ht="25.5">
      <c r="A1130" s="630" t="s">
        <v>38</v>
      </c>
      <c r="B1130" s="898" t="s">
        <v>39</v>
      </c>
      <c r="C1130" s="899" t="s">
        <v>40</v>
      </c>
      <c r="D1130" s="899" t="s">
        <v>41</v>
      </c>
      <c r="E1130" s="900" t="s">
        <v>1261</v>
      </c>
      <c r="F1130" s="900" t="s">
        <v>1262</v>
      </c>
      <c r="G1130" s="600"/>
      <c r="H1130" s="601"/>
      <c r="I1130" s="601"/>
      <c r="J1130" s="146"/>
      <c r="K1130" s="146"/>
      <c r="L1130" s="601"/>
      <c r="M1130" s="146"/>
      <c r="N1130" s="631" t="s">
        <v>1264</v>
      </c>
      <c r="O1130" s="631" t="s">
        <v>1263</v>
      </c>
    </row>
    <row r="1131" spans="1:15" s="332" customFormat="1" ht="12" thickBot="1">
      <c r="A1131" s="329" t="s">
        <v>744</v>
      </c>
      <c r="B1131" s="333" t="s">
        <v>745</v>
      </c>
      <c r="C1131" s="334" t="s">
        <v>746</v>
      </c>
      <c r="D1131" s="330">
        <v>-4</v>
      </c>
      <c r="E1131" s="331">
        <v>-5</v>
      </c>
      <c r="F1131" s="331" t="s">
        <v>747</v>
      </c>
      <c r="N1131" s="639"/>
      <c r="O1131" s="639"/>
    </row>
    <row r="1132" spans="1:15" s="340" customFormat="1" ht="16.5" thickBot="1">
      <c r="A1132" s="335" t="s">
        <v>748</v>
      </c>
      <c r="B1132" s="336" t="s">
        <v>749</v>
      </c>
      <c r="C1132" s="337" t="s">
        <v>40</v>
      </c>
      <c r="D1132" s="337" t="s">
        <v>750</v>
      </c>
      <c r="E1132" s="338" t="s">
        <v>751</v>
      </c>
      <c r="F1132" s="339" t="s">
        <v>752</v>
      </c>
      <c r="N1132" s="640"/>
      <c r="O1132" s="640"/>
    </row>
    <row r="1133" spans="1:15" s="340" customFormat="1" ht="200.25" customHeight="1">
      <c r="A1133" s="341">
        <v>1</v>
      </c>
      <c r="B1133" s="342" t="s">
        <v>753</v>
      </c>
      <c r="C1133" s="343" t="s">
        <v>754</v>
      </c>
      <c r="D1133" s="343">
        <v>25.6</v>
      </c>
      <c r="E1133" s="344"/>
      <c r="F1133" s="345">
        <f>E1133*D1133</f>
        <v>0</v>
      </c>
      <c r="N1133" s="640">
        <f>E1133*1.2</f>
        <v>0</v>
      </c>
      <c r="O1133" s="640">
        <f>N1133*D1133</f>
        <v>0</v>
      </c>
    </row>
    <row r="1134" spans="1:15" s="340" customFormat="1" ht="45.75" customHeight="1">
      <c r="A1134" s="341">
        <v>2</v>
      </c>
      <c r="B1134" s="346" t="s">
        <v>755</v>
      </c>
      <c r="C1134" s="343" t="s">
        <v>142</v>
      </c>
      <c r="D1134" s="343">
        <v>8</v>
      </c>
      <c r="E1134" s="344"/>
      <c r="F1134" s="345">
        <f>E1134*D1134</f>
        <v>0</v>
      </c>
      <c r="N1134" s="640">
        <f>E1134*1.2</f>
        <v>0</v>
      </c>
      <c r="O1134" s="640">
        <f>N1134*D1134</f>
        <v>0</v>
      </c>
    </row>
    <row r="1135" spans="1:15" s="340" customFormat="1" ht="57" customHeight="1" thickBot="1">
      <c r="A1135" s="347">
        <v>3</v>
      </c>
      <c r="B1135" s="346" t="s">
        <v>756</v>
      </c>
      <c r="C1135" s="343" t="s">
        <v>142</v>
      </c>
      <c r="D1135" s="343">
        <v>1</v>
      </c>
      <c r="E1135" s="344"/>
      <c r="F1135" s="345">
        <f>E1135*D1135</f>
        <v>0</v>
      </c>
      <c r="N1135" s="640">
        <f>E1135*1.2</f>
        <v>0</v>
      </c>
      <c r="O1135" s="640">
        <f>N1135*D1135</f>
        <v>0</v>
      </c>
    </row>
    <row r="1136" spans="1:15" s="340" customFormat="1" ht="72" customHeight="1" thickBot="1">
      <c r="A1136" s="347">
        <v>4</v>
      </c>
      <c r="B1136" s="346" t="s">
        <v>757</v>
      </c>
      <c r="C1136" s="343" t="s">
        <v>758</v>
      </c>
      <c r="D1136" s="343">
        <v>1</v>
      </c>
      <c r="E1136" s="344"/>
      <c r="F1136" s="345">
        <f>E1136*D1136</f>
        <v>0</v>
      </c>
      <c r="N1136" s="640">
        <f>E1136*1.2</f>
        <v>0</v>
      </c>
      <c r="O1136" s="640">
        <f>N1136*D1136</f>
        <v>0</v>
      </c>
    </row>
    <row r="1137" spans="1:15" s="350" customFormat="1" ht="17.25" customHeight="1">
      <c r="A1137" s="1232" t="s">
        <v>759</v>
      </c>
      <c r="B1137" s="1233"/>
      <c r="C1137" s="1233"/>
      <c r="D1137" s="902"/>
      <c r="E1137" s="903"/>
      <c r="F1137" s="909">
        <f>SUM(F1133:F1136)</f>
        <v>0</v>
      </c>
      <c r="G1137" s="904"/>
      <c r="H1137" s="904"/>
      <c r="I1137" s="905"/>
      <c r="J1137" s="904"/>
      <c r="K1137" s="904"/>
      <c r="L1137" s="904"/>
      <c r="M1137" s="904"/>
      <c r="N1137" s="906"/>
      <c r="O1137" s="908">
        <f>SUM(O1133:O1136)</f>
        <v>0</v>
      </c>
    </row>
    <row r="1138" spans="1:15" s="350" customFormat="1" ht="17.25" customHeight="1">
      <c r="A1138" s="351"/>
      <c r="B1138" s="352"/>
      <c r="C1138" s="353"/>
      <c r="D1138" s="353"/>
      <c r="E1138" s="354"/>
      <c r="F1138" s="355"/>
      <c r="I1138" s="340"/>
      <c r="N1138" s="641"/>
      <c r="O1138" s="641"/>
    </row>
    <row r="1139" spans="1:15" s="350" customFormat="1" ht="15.75" customHeight="1">
      <c r="A1139" s="356" t="s">
        <v>760</v>
      </c>
      <c r="B1139" s="1234" t="s">
        <v>761</v>
      </c>
      <c r="C1139" s="1235"/>
      <c r="D1139" s="1235"/>
      <c r="E1139" s="1235"/>
      <c r="F1139" s="1236"/>
      <c r="I1139" s="340"/>
      <c r="N1139" s="641"/>
      <c r="O1139" s="641"/>
    </row>
    <row r="1140" spans="1:256" s="340" customFormat="1" ht="317.25" customHeight="1">
      <c r="A1140" s="357" t="s">
        <v>325</v>
      </c>
      <c r="B1140" s="358" t="s">
        <v>762</v>
      </c>
      <c r="C1140" s="359" t="s">
        <v>142</v>
      </c>
      <c r="D1140" s="360">
        <v>1</v>
      </c>
      <c r="E1140" s="361"/>
      <c r="F1140" s="362">
        <f aca="true" t="shared" si="25" ref="F1140:F1145">D1140*E1140</f>
        <v>0</v>
      </c>
      <c r="G1140" s="304"/>
      <c r="H1140" s="304"/>
      <c r="I1140" s="294"/>
      <c r="J1140" s="304"/>
      <c r="K1140" s="304"/>
      <c r="L1140" s="304"/>
      <c r="M1140"/>
      <c r="N1140" s="633">
        <f aca="true" t="shared" si="26" ref="N1140:N1145">E1140*1.2</f>
        <v>0</v>
      </c>
      <c r="O1140" s="633">
        <f aca="true" t="shared" si="27" ref="O1140:O1145">N1140*D1140</f>
        <v>0</v>
      </c>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340" customFormat="1" ht="251.25" customHeight="1">
      <c r="A1141" s="357" t="s">
        <v>541</v>
      </c>
      <c r="B1141" s="363" t="s">
        <v>763</v>
      </c>
      <c r="C1141" s="359" t="s">
        <v>764</v>
      </c>
      <c r="D1141" s="360">
        <v>1</v>
      </c>
      <c r="E1141" s="361"/>
      <c r="F1141" s="362">
        <f t="shared" si="25"/>
        <v>0</v>
      </c>
      <c r="G1141" s="304"/>
      <c r="H1141" s="304"/>
      <c r="I1141" s="294"/>
      <c r="J1141" s="304"/>
      <c r="K1141" s="304"/>
      <c r="L1141" s="304"/>
      <c r="M1141"/>
      <c r="N1141" s="633">
        <f t="shared" si="26"/>
        <v>0</v>
      </c>
      <c r="O1141" s="633">
        <f t="shared" si="27"/>
        <v>0</v>
      </c>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340" customFormat="1" ht="213" customHeight="1">
      <c r="A1142" s="357" t="s">
        <v>553</v>
      </c>
      <c r="B1142" s="363" t="s">
        <v>765</v>
      </c>
      <c r="C1142" s="359" t="s">
        <v>764</v>
      </c>
      <c r="D1142" s="360">
        <v>1</v>
      </c>
      <c r="E1142" s="361"/>
      <c r="F1142" s="362">
        <f t="shared" si="25"/>
        <v>0</v>
      </c>
      <c r="G1142" s="304"/>
      <c r="H1142" s="304"/>
      <c r="I1142" s="294"/>
      <c r="J1142" s="304"/>
      <c r="K1142" s="304"/>
      <c r="L1142" s="304"/>
      <c r="M1142"/>
      <c r="N1142" s="633">
        <f t="shared" si="26"/>
        <v>0</v>
      </c>
      <c r="O1142" s="633">
        <f t="shared" si="27"/>
        <v>0</v>
      </c>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340" customFormat="1" ht="214.5" customHeight="1">
      <c r="A1143" s="357" t="s">
        <v>556</v>
      </c>
      <c r="B1143" s="363" t="s">
        <v>766</v>
      </c>
      <c r="C1143" s="359" t="s">
        <v>764</v>
      </c>
      <c r="D1143" s="360">
        <v>1</v>
      </c>
      <c r="E1143" s="361"/>
      <c r="F1143" s="362">
        <f t="shared" si="25"/>
        <v>0</v>
      </c>
      <c r="G1143" s="304"/>
      <c r="H1143" s="304"/>
      <c r="I1143" s="294"/>
      <c r="J1143" s="304"/>
      <c r="K1143" s="304"/>
      <c r="L1143" s="304"/>
      <c r="M1143"/>
      <c r="N1143" s="633">
        <f t="shared" si="26"/>
        <v>0</v>
      </c>
      <c r="O1143" s="633">
        <f t="shared" si="27"/>
        <v>0</v>
      </c>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340" customFormat="1" ht="240.75" customHeight="1">
      <c r="A1144" s="357" t="s">
        <v>339</v>
      </c>
      <c r="B1144" s="363" t="s">
        <v>767</v>
      </c>
      <c r="C1144" s="359" t="s">
        <v>764</v>
      </c>
      <c r="D1144" s="360">
        <v>1</v>
      </c>
      <c r="E1144" s="361"/>
      <c r="F1144" s="362">
        <f t="shared" si="25"/>
        <v>0</v>
      </c>
      <c r="G1144" s="304"/>
      <c r="H1144" s="304"/>
      <c r="I1144" s="294"/>
      <c r="J1144" s="304"/>
      <c r="K1144" s="304"/>
      <c r="L1144" s="304"/>
      <c r="M1144"/>
      <c r="N1144" s="633">
        <f t="shared" si="26"/>
        <v>0</v>
      </c>
      <c r="O1144" s="633">
        <f t="shared" si="27"/>
        <v>0</v>
      </c>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340" customFormat="1" ht="81" customHeight="1">
      <c r="A1145" s="357" t="s">
        <v>342</v>
      </c>
      <c r="B1145" s="363" t="s">
        <v>768</v>
      </c>
      <c r="C1145" s="359" t="s">
        <v>764</v>
      </c>
      <c r="D1145" s="360">
        <v>1</v>
      </c>
      <c r="E1145" s="361"/>
      <c r="F1145" s="362">
        <f t="shared" si="25"/>
        <v>0</v>
      </c>
      <c r="G1145" s="304"/>
      <c r="H1145" s="304"/>
      <c r="I1145" s="294"/>
      <c r="J1145" s="304"/>
      <c r="K1145" s="304"/>
      <c r="L1145" s="304"/>
      <c r="M1145"/>
      <c r="N1145" s="633">
        <f t="shared" si="26"/>
        <v>0</v>
      </c>
      <c r="O1145" s="633">
        <f t="shared" si="27"/>
        <v>0</v>
      </c>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15" s="365" customFormat="1" ht="15" customHeight="1">
      <c r="A1146" s="1237" t="s">
        <v>769</v>
      </c>
      <c r="B1146" s="1238"/>
      <c r="C1146" s="1238"/>
      <c r="D1146" s="902"/>
      <c r="E1146" s="903"/>
      <c r="F1146" s="909">
        <f>SUM(F1140:F1145)</f>
        <v>0</v>
      </c>
      <c r="G1146" s="910"/>
      <c r="H1146" s="910"/>
      <c r="I1146" s="905"/>
      <c r="J1146" s="910"/>
      <c r="K1146" s="910"/>
      <c r="L1146" s="910"/>
      <c r="M1146" s="910"/>
      <c r="N1146" s="907"/>
      <c r="O1146" s="908">
        <f>SUM(O1140:O1145)</f>
        <v>0</v>
      </c>
    </row>
    <row r="1147" spans="1:15" s="340" customFormat="1" ht="12.75">
      <c r="A1147" s="366"/>
      <c r="B1147" s="367"/>
      <c r="C1147" s="368"/>
      <c r="D1147" s="369"/>
      <c r="E1147" s="370"/>
      <c r="F1147" s="370"/>
      <c r="N1147" s="640"/>
      <c r="O1147" s="640"/>
    </row>
    <row r="1148" spans="1:15" s="350" customFormat="1" ht="15.75" customHeight="1">
      <c r="A1148" s="356" t="s">
        <v>770</v>
      </c>
      <c r="B1148" s="1234" t="s">
        <v>771</v>
      </c>
      <c r="C1148" s="1235"/>
      <c r="D1148" s="1235"/>
      <c r="E1148" s="1235"/>
      <c r="F1148" s="1236"/>
      <c r="I1148" s="340"/>
      <c r="N1148" s="641"/>
      <c r="O1148" s="641"/>
    </row>
    <row r="1149" spans="1:15" s="340" customFormat="1" ht="200.25" customHeight="1">
      <c r="A1149" s="357" t="s">
        <v>325</v>
      </c>
      <c r="B1149" s="371" t="s">
        <v>772</v>
      </c>
      <c r="C1149" s="372" t="s">
        <v>773</v>
      </c>
      <c r="D1149" s="373">
        <v>86</v>
      </c>
      <c r="E1149" s="374"/>
      <c r="F1149" s="375">
        <f aca="true" t="shared" si="28" ref="F1149:F1162">D1149*E1149</f>
        <v>0</v>
      </c>
      <c r="N1149" s="640">
        <f aca="true" t="shared" si="29" ref="N1149:N1162">E1149*1.2</f>
        <v>0</v>
      </c>
      <c r="O1149" s="640">
        <f aca="true" t="shared" si="30" ref="O1149:O1162">N1149*D1149</f>
        <v>0</v>
      </c>
    </row>
    <row r="1150" spans="1:15" s="340" customFormat="1" ht="165" customHeight="1">
      <c r="A1150" s="357" t="s">
        <v>541</v>
      </c>
      <c r="B1150" s="376" t="s">
        <v>774</v>
      </c>
      <c r="C1150" s="377" t="s">
        <v>773</v>
      </c>
      <c r="D1150" s="378">
        <v>5</v>
      </c>
      <c r="E1150" s="379"/>
      <c r="F1150" s="380">
        <f t="shared" si="28"/>
        <v>0</v>
      </c>
      <c r="N1150" s="640">
        <f t="shared" si="29"/>
        <v>0</v>
      </c>
      <c r="O1150" s="640">
        <f t="shared" si="30"/>
        <v>0</v>
      </c>
    </row>
    <row r="1151" spans="1:15" s="340" customFormat="1" ht="178.5" customHeight="1">
      <c r="A1151" s="357" t="s">
        <v>553</v>
      </c>
      <c r="B1151" s="376" t="s">
        <v>775</v>
      </c>
      <c r="C1151" s="377" t="s">
        <v>773</v>
      </c>
      <c r="D1151" s="378">
        <v>15</v>
      </c>
      <c r="E1151" s="379"/>
      <c r="F1151" s="380">
        <f t="shared" si="28"/>
        <v>0</v>
      </c>
      <c r="N1151" s="640">
        <f t="shared" si="29"/>
        <v>0</v>
      </c>
      <c r="O1151" s="640">
        <f t="shared" si="30"/>
        <v>0</v>
      </c>
    </row>
    <row r="1152" spans="1:15" s="340" customFormat="1" ht="177" customHeight="1">
      <c r="A1152" s="357" t="s">
        <v>556</v>
      </c>
      <c r="B1152" s="376" t="s">
        <v>776</v>
      </c>
      <c r="C1152" s="377" t="s">
        <v>773</v>
      </c>
      <c r="D1152" s="378">
        <v>20</v>
      </c>
      <c r="E1152" s="379"/>
      <c r="F1152" s="380">
        <f t="shared" si="28"/>
        <v>0</v>
      </c>
      <c r="N1152" s="640">
        <f t="shared" si="29"/>
        <v>0</v>
      </c>
      <c r="O1152" s="640">
        <f t="shared" si="30"/>
        <v>0</v>
      </c>
    </row>
    <row r="1153" spans="1:15" s="340" customFormat="1" ht="180" customHeight="1">
      <c r="A1153" s="357" t="s">
        <v>339</v>
      </c>
      <c r="B1153" s="376" t="s">
        <v>777</v>
      </c>
      <c r="C1153" s="377" t="s">
        <v>773</v>
      </c>
      <c r="D1153" s="378">
        <v>25</v>
      </c>
      <c r="E1153" s="379"/>
      <c r="F1153" s="380">
        <f t="shared" si="28"/>
        <v>0</v>
      </c>
      <c r="N1153" s="640">
        <f t="shared" si="29"/>
        <v>0</v>
      </c>
      <c r="O1153" s="640">
        <f t="shared" si="30"/>
        <v>0</v>
      </c>
    </row>
    <row r="1154" spans="1:15" s="340" customFormat="1" ht="176.25" customHeight="1">
      <c r="A1154" s="357" t="s">
        <v>342</v>
      </c>
      <c r="B1154" s="376" t="s">
        <v>778</v>
      </c>
      <c r="C1154" s="377" t="s">
        <v>773</v>
      </c>
      <c r="D1154" s="378">
        <v>22</v>
      </c>
      <c r="E1154" s="379"/>
      <c r="F1154" s="380">
        <f t="shared" si="28"/>
        <v>0</v>
      </c>
      <c r="N1154" s="640">
        <f t="shared" si="29"/>
        <v>0</v>
      </c>
      <c r="O1154" s="640">
        <f t="shared" si="30"/>
        <v>0</v>
      </c>
    </row>
    <row r="1155" spans="1:15" s="340" customFormat="1" ht="172.5" customHeight="1">
      <c r="A1155" s="357" t="s">
        <v>368</v>
      </c>
      <c r="B1155" s="376" t="s">
        <v>779</v>
      </c>
      <c r="C1155" s="377" t="s">
        <v>764</v>
      </c>
      <c r="D1155" s="378">
        <v>1</v>
      </c>
      <c r="E1155" s="379"/>
      <c r="F1155" s="380">
        <f t="shared" si="28"/>
        <v>0</v>
      </c>
      <c r="N1155" s="640">
        <f t="shared" si="29"/>
        <v>0</v>
      </c>
      <c r="O1155" s="640">
        <f t="shared" si="30"/>
        <v>0</v>
      </c>
    </row>
    <row r="1156" spans="1:15" s="340" customFormat="1" ht="190.5" customHeight="1">
      <c r="A1156" s="357" t="s">
        <v>380</v>
      </c>
      <c r="B1156" s="376" t="s">
        <v>780</v>
      </c>
      <c r="C1156" s="377" t="s">
        <v>764</v>
      </c>
      <c r="D1156" s="378">
        <v>62</v>
      </c>
      <c r="E1156" s="379"/>
      <c r="F1156" s="380">
        <f t="shared" si="28"/>
        <v>0</v>
      </c>
      <c r="N1156" s="640">
        <f t="shared" si="29"/>
        <v>0</v>
      </c>
      <c r="O1156" s="640">
        <f t="shared" si="30"/>
        <v>0</v>
      </c>
    </row>
    <row r="1157" spans="1:15" s="340" customFormat="1" ht="190.5" customHeight="1">
      <c r="A1157" s="357" t="s">
        <v>405</v>
      </c>
      <c r="B1157" s="376" t="s">
        <v>781</v>
      </c>
      <c r="C1157" s="377" t="s">
        <v>764</v>
      </c>
      <c r="D1157" s="378">
        <v>235</v>
      </c>
      <c r="E1157" s="379"/>
      <c r="F1157" s="380">
        <f t="shared" si="28"/>
        <v>0</v>
      </c>
      <c r="N1157" s="640">
        <f t="shared" si="29"/>
        <v>0</v>
      </c>
      <c r="O1157" s="640">
        <f t="shared" si="30"/>
        <v>0</v>
      </c>
    </row>
    <row r="1158" spans="1:15" s="340" customFormat="1" ht="188.25" customHeight="1">
      <c r="A1158" s="357" t="s">
        <v>394</v>
      </c>
      <c r="B1158" s="376" t="s">
        <v>782</v>
      </c>
      <c r="C1158" s="377" t="s">
        <v>764</v>
      </c>
      <c r="D1158" s="378">
        <v>4</v>
      </c>
      <c r="E1158" s="379"/>
      <c r="F1158" s="380">
        <f t="shared" si="28"/>
        <v>0</v>
      </c>
      <c r="N1158" s="640">
        <f t="shared" si="29"/>
        <v>0</v>
      </c>
      <c r="O1158" s="640">
        <f t="shared" si="30"/>
        <v>0</v>
      </c>
    </row>
    <row r="1159" spans="1:15" s="340" customFormat="1" ht="162.75" customHeight="1">
      <c r="A1159" s="357" t="s">
        <v>344</v>
      </c>
      <c r="B1159" s="376" t="s">
        <v>783</v>
      </c>
      <c r="C1159" s="377" t="s">
        <v>764</v>
      </c>
      <c r="D1159" s="378">
        <v>11</v>
      </c>
      <c r="E1159" s="379"/>
      <c r="F1159" s="380">
        <f t="shared" si="28"/>
        <v>0</v>
      </c>
      <c r="N1159" s="640">
        <f t="shared" si="29"/>
        <v>0</v>
      </c>
      <c r="O1159" s="640">
        <f t="shared" si="30"/>
        <v>0</v>
      </c>
    </row>
    <row r="1160" spans="1:15" s="340" customFormat="1" ht="169.5" customHeight="1">
      <c r="A1160" s="357" t="s">
        <v>411</v>
      </c>
      <c r="B1160" s="376" t="s">
        <v>784</v>
      </c>
      <c r="C1160" s="377" t="s">
        <v>764</v>
      </c>
      <c r="D1160" s="378">
        <v>26</v>
      </c>
      <c r="E1160" s="379"/>
      <c r="F1160" s="380">
        <f t="shared" si="28"/>
        <v>0</v>
      </c>
      <c r="N1160" s="640">
        <f t="shared" si="29"/>
        <v>0</v>
      </c>
      <c r="O1160" s="640">
        <f t="shared" si="30"/>
        <v>0</v>
      </c>
    </row>
    <row r="1161" spans="1:15" s="381" customFormat="1" ht="115.5" customHeight="1">
      <c r="A1161" s="357" t="s">
        <v>417</v>
      </c>
      <c r="B1161" s="376" t="s">
        <v>785</v>
      </c>
      <c r="C1161" s="377" t="s">
        <v>764</v>
      </c>
      <c r="D1161" s="378">
        <v>20</v>
      </c>
      <c r="E1161" s="379"/>
      <c r="F1161" s="380">
        <f t="shared" si="28"/>
        <v>0</v>
      </c>
      <c r="I1161" s="382"/>
      <c r="N1161" s="640">
        <f t="shared" si="29"/>
        <v>0</v>
      </c>
      <c r="O1161" s="640">
        <f t="shared" si="30"/>
        <v>0</v>
      </c>
    </row>
    <row r="1162" spans="1:15" s="340" customFormat="1" ht="76.5">
      <c r="A1162" s="357" t="s">
        <v>420</v>
      </c>
      <c r="B1162" s="383" t="s">
        <v>786</v>
      </c>
      <c r="C1162" s="377" t="s">
        <v>758</v>
      </c>
      <c r="D1162" s="378">
        <v>1</v>
      </c>
      <c r="E1162" s="379"/>
      <c r="F1162" s="380">
        <f t="shared" si="28"/>
        <v>0</v>
      </c>
      <c r="N1162" s="640">
        <f t="shared" si="29"/>
        <v>0</v>
      </c>
      <c r="O1162" s="640">
        <f t="shared" si="30"/>
        <v>0</v>
      </c>
    </row>
    <row r="1163" spans="1:15" s="350" customFormat="1" ht="15.75" customHeight="1">
      <c r="A1163" s="1239" t="s">
        <v>787</v>
      </c>
      <c r="B1163" s="1239"/>
      <c r="C1163" s="1239"/>
      <c r="D1163" s="348"/>
      <c r="E1163" s="349"/>
      <c r="F1163" s="364">
        <f>SUM(F1149:F1162)</f>
        <v>0</v>
      </c>
      <c r="I1163" s="340"/>
      <c r="N1163" s="906"/>
      <c r="O1163" s="908">
        <f>SUM(O1149:O1162)</f>
        <v>0</v>
      </c>
    </row>
    <row r="1164" spans="1:15" s="340" customFormat="1" ht="12" customHeight="1">
      <c r="A1164" s="366"/>
      <c r="B1164" s="367"/>
      <c r="C1164" s="368"/>
      <c r="D1164" s="369"/>
      <c r="E1164" s="370"/>
      <c r="F1164" s="370"/>
      <c r="N1164" s="640"/>
      <c r="O1164" s="640"/>
    </row>
    <row r="1165" spans="1:15" s="340" customFormat="1" ht="18.75" customHeight="1">
      <c r="A1165" s="384" t="s">
        <v>788</v>
      </c>
      <c r="B1165" s="1234" t="s">
        <v>789</v>
      </c>
      <c r="C1165" s="1235"/>
      <c r="D1165" s="1235"/>
      <c r="E1165" s="1235"/>
      <c r="F1165" s="1236"/>
      <c r="N1165" s="640"/>
      <c r="O1165" s="640"/>
    </row>
    <row r="1166" spans="1:15" s="340" customFormat="1" ht="148.5" customHeight="1">
      <c r="A1166" s="357" t="s">
        <v>325</v>
      </c>
      <c r="B1166" s="371" t="s">
        <v>790</v>
      </c>
      <c r="C1166" s="372" t="s">
        <v>764</v>
      </c>
      <c r="D1166" s="373">
        <v>59</v>
      </c>
      <c r="E1166" s="374"/>
      <c r="F1166" s="375">
        <f aca="true" t="shared" si="31" ref="F1166:F1175">D1166*E1166</f>
        <v>0</v>
      </c>
      <c r="N1166" s="640">
        <f aca="true" t="shared" si="32" ref="N1166:N1175">E1166*1.2</f>
        <v>0</v>
      </c>
      <c r="O1166" s="640">
        <f aca="true" t="shared" si="33" ref="O1166:O1175">N1166*D1166</f>
        <v>0</v>
      </c>
    </row>
    <row r="1167" spans="1:15" s="340" customFormat="1" ht="150" customHeight="1">
      <c r="A1167" s="357" t="s">
        <v>541</v>
      </c>
      <c r="B1167" s="376" t="s">
        <v>791</v>
      </c>
      <c r="C1167" s="377" t="s">
        <v>764</v>
      </c>
      <c r="D1167" s="378">
        <v>19</v>
      </c>
      <c r="E1167" s="379"/>
      <c r="F1167" s="380">
        <f t="shared" si="31"/>
        <v>0</v>
      </c>
      <c r="N1167" s="640">
        <f t="shared" si="32"/>
        <v>0</v>
      </c>
      <c r="O1167" s="640">
        <f t="shared" si="33"/>
        <v>0</v>
      </c>
    </row>
    <row r="1168" spans="1:15" s="391" customFormat="1" ht="88.5" customHeight="1">
      <c r="A1168" s="385" t="s">
        <v>553</v>
      </c>
      <c r="B1168" s="386" t="s">
        <v>792</v>
      </c>
      <c r="C1168" s="387" t="s">
        <v>764</v>
      </c>
      <c r="D1168" s="388">
        <v>2</v>
      </c>
      <c r="E1168" s="389"/>
      <c r="F1168" s="390">
        <f t="shared" si="31"/>
        <v>0</v>
      </c>
      <c r="N1168" s="640">
        <f t="shared" si="32"/>
        <v>0</v>
      </c>
      <c r="O1168" s="640">
        <f t="shared" si="33"/>
        <v>0</v>
      </c>
    </row>
    <row r="1169" spans="1:15" s="340" customFormat="1" ht="72" customHeight="1">
      <c r="A1169" s="357" t="s">
        <v>556</v>
      </c>
      <c r="B1169" s="376" t="s">
        <v>793</v>
      </c>
      <c r="C1169" s="377" t="s">
        <v>764</v>
      </c>
      <c r="D1169" s="378">
        <v>1</v>
      </c>
      <c r="E1169" s="379"/>
      <c r="F1169" s="380">
        <f t="shared" si="31"/>
        <v>0</v>
      </c>
      <c r="N1169" s="640">
        <f t="shared" si="32"/>
        <v>0</v>
      </c>
      <c r="O1169" s="640">
        <f t="shared" si="33"/>
        <v>0</v>
      </c>
    </row>
    <row r="1170" spans="1:15" s="340" customFormat="1" ht="147.75" customHeight="1">
      <c r="A1170" s="357" t="s">
        <v>339</v>
      </c>
      <c r="B1170" s="376" t="s">
        <v>794</v>
      </c>
      <c r="C1170" s="377" t="s">
        <v>764</v>
      </c>
      <c r="D1170" s="378">
        <v>3</v>
      </c>
      <c r="E1170" s="379"/>
      <c r="F1170" s="380">
        <f t="shared" si="31"/>
        <v>0</v>
      </c>
      <c r="N1170" s="640">
        <f t="shared" si="32"/>
        <v>0</v>
      </c>
      <c r="O1170" s="640">
        <f t="shared" si="33"/>
        <v>0</v>
      </c>
    </row>
    <row r="1171" spans="1:15" s="340" customFormat="1" ht="162.75" customHeight="1">
      <c r="A1171" s="357" t="s">
        <v>342</v>
      </c>
      <c r="B1171" s="376" t="s">
        <v>795</v>
      </c>
      <c r="C1171" s="377" t="s">
        <v>764</v>
      </c>
      <c r="D1171" s="378">
        <v>26</v>
      </c>
      <c r="E1171" s="379"/>
      <c r="F1171" s="380">
        <f t="shared" si="31"/>
        <v>0</v>
      </c>
      <c r="N1171" s="640">
        <f t="shared" si="32"/>
        <v>0</v>
      </c>
      <c r="O1171" s="640">
        <f t="shared" si="33"/>
        <v>0</v>
      </c>
    </row>
    <row r="1172" spans="1:15" s="340" customFormat="1" ht="150.75" customHeight="1">
      <c r="A1172" s="357" t="s">
        <v>368</v>
      </c>
      <c r="B1172" s="376" t="s">
        <v>796</v>
      </c>
      <c r="C1172" s="377" t="s">
        <v>764</v>
      </c>
      <c r="D1172" s="378">
        <v>2</v>
      </c>
      <c r="E1172" s="379"/>
      <c r="F1172" s="380">
        <f t="shared" si="31"/>
        <v>0</v>
      </c>
      <c r="N1172" s="640">
        <f t="shared" si="32"/>
        <v>0</v>
      </c>
      <c r="O1172" s="640">
        <f t="shared" si="33"/>
        <v>0</v>
      </c>
    </row>
    <row r="1173" spans="1:15" s="365" customFormat="1" ht="86.25" customHeight="1">
      <c r="A1173" s="357" t="s">
        <v>380</v>
      </c>
      <c r="B1173" s="376" t="s">
        <v>797</v>
      </c>
      <c r="C1173" s="377" t="s">
        <v>764</v>
      </c>
      <c r="D1173" s="378">
        <v>3</v>
      </c>
      <c r="E1173" s="379"/>
      <c r="F1173" s="380">
        <f t="shared" si="31"/>
        <v>0</v>
      </c>
      <c r="I1173" s="340"/>
      <c r="N1173" s="640">
        <f t="shared" si="32"/>
        <v>0</v>
      </c>
      <c r="O1173" s="640">
        <f t="shared" si="33"/>
        <v>0</v>
      </c>
    </row>
    <row r="1174" spans="1:15" s="340" customFormat="1" ht="72" customHeight="1">
      <c r="A1174" s="357" t="s">
        <v>405</v>
      </c>
      <c r="B1174" s="376" t="s">
        <v>798</v>
      </c>
      <c r="C1174" s="377" t="s">
        <v>764</v>
      </c>
      <c r="D1174" s="378">
        <v>1</v>
      </c>
      <c r="E1174" s="379"/>
      <c r="F1174" s="380">
        <f t="shared" si="31"/>
        <v>0</v>
      </c>
      <c r="N1174" s="640">
        <f t="shared" si="32"/>
        <v>0</v>
      </c>
      <c r="O1174" s="640">
        <f t="shared" si="33"/>
        <v>0</v>
      </c>
    </row>
    <row r="1175" spans="1:15" s="340" customFormat="1" ht="279.75" customHeight="1">
      <c r="A1175" s="357" t="s">
        <v>394</v>
      </c>
      <c r="B1175" s="376" t="s">
        <v>799</v>
      </c>
      <c r="C1175" s="377" t="s">
        <v>764</v>
      </c>
      <c r="D1175" s="378">
        <v>16</v>
      </c>
      <c r="E1175" s="379"/>
      <c r="F1175" s="380">
        <f t="shared" si="31"/>
        <v>0</v>
      </c>
      <c r="N1175" s="640">
        <f t="shared" si="32"/>
        <v>0</v>
      </c>
      <c r="O1175" s="640">
        <f t="shared" si="33"/>
        <v>0</v>
      </c>
    </row>
    <row r="1176" spans="1:15" s="340" customFormat="1" ht="15.75">
      <c r="A1176" s="1241" t="s">
        <v>800</v>
      </c>
      <c r="B1176" s="1242"/>
      <c r="C1176" s="1242"/>
      <c r="D1176" s="348"/>
      <c r="E1176" s="349"/>
      <c r="F1176" s="364">
        <f>SUM(F1166:F1175)</f>
        <v>0</v>
      </c>
      <c r="N1176" s="911"/>
      <c r="O1176" s="912">
        <f>SUM(O1166:O1175)</f>
        <v>0</v>
      </c>
    </row>
    <row r="1177" spans="1:15" s="340" customFormat="1" ht="17.25" customHeight="1">
      <c r="A1177" s="366"/>
      <c r="B1177" s="367"/>
      <c r="C1177" s="368"/>
      <c r="D1177" s="369"/>
      <c r="E1177" s="370"/>
      <c r="F1177" s="370"/>
      <c r="N1177" s="640"/>
      <c r="O1177" s="640"/>
    </row>
    <row r="1178" spans="1:15" s="340" customFormat="1" ht="16.5" customHeight="1">
      <c r="A1178" s="356" t="s">
        <v>801</v>
      </c>
      <c r="B1178" s="1234" t="s">
        <v>802</v>
      </c>
      <c r="C1178" s="1235"/>
      <c r="D1178" s="1235"/>
      <c r="E1178" s="1235"/>
      <c r="F1178" s="1236"/>
      <c r="N1178" s="640"/>
      <c r="O1178" s="640"/>
    </row>
    <row r="1179" spans="1:15" s="340" customFormat="1" ht="103.5" customHeight="1">
      <c r="A1179" s="357" t="s">
        <v>325</v>
      </c>
      <c r="B1179" s="392" t="s">
        <v>803</v>
      </c>
      <c r="C1179" s="372" t="s">
        <v>804</v>
      </c>
      <c r="D1179" s="373">
        <v>53</v>
      </c>
      <c r="E1179" s="374"/>
      <c r="F1179" s="375">
        <f aca="true" t="shared" si="34" ref="F1179:F1186">D1179*E1179</f>
        <v>0</v>
      </c>
      <c r="N1179" s="640">
        <f aca="true" t="shared" si="35" ref="N1179:N1186">E1179*1.2</f>
        <v>0</v>
      </c>
      <c r="O1179" s="640">
        <f aca="true" t="shared" si="36" ref="O1179:O1186">N1179*D1179</f>
        <v>0</v>
      </c>
    </row>
    <row r="1180" spans="1:15" s="340" customFormat="1" ht="99" customHeight="1">
      <c r="A1180" s="357" t="s">
        <v>541</v>
      </c>
      <c r="B1180" s="393" t="s">
        <v>805</v>
      </c>
      <c r="C1180" s="377" t="s">
        <v>804</v>
      </c>
      <c r="D1180" s="378">
        <v>74</v>
      </c>
      <c r="E1180" s="379"/>
      <c r="F1180" s="380">
        <f t="shared" si="34"/>
        <v>0</v>
      </c>
      <c r="N1180" s="640">
        <f t="shared" si="35"/>
        <v>0</v>
      </c>
      <c r="O1180" s="640">
        <f t="shared" si="36"/>
        <v>0</v>
      </c>
    </row>
    <row r="1181" spans="1:15" s="340" customFormat="1" ht="100.5" customHeight="1">
      <c r="A1181" s="357" t="s">
        <v>553</v>
      </c>
      <c r="B1181" s="393" t="s">
        <v>806</v>
      </c>
      <c r="C1181" s="377" t="s">
        <v>804</v>
      </c>
      <c r="D1181" s="378">
        <v>8</v>
      </c>
      <c r="E1181" s="379"/>
      <c r="F1181" s="380">
        <f t="shared" si="34"/>
        <v>0</v>
      </c>
      <c r="N1181" s="640">
        <f t="shared" si="35"/>
        <v>0</v>
      </c>
      <c r="O1181" s="640">
        <f t="shared" si="36"/>
        <v>0</v>
      </c>
    </row>
    <row r="1182" spans="1:15" s="340" customFormat="1" ht="99.75" customHeight="1">
      <c r="A1182" s="357" t="s">
        <v>556</v>
      </c>
      <c r="B1182" s="393" t="s">
        <v>807</v>
      </c>
      <c r="C1182" s="377" t="s">
        <v>804</v>
      </c>
      <c r="D1182" s="378">
        <v>10</v>
      </c>
      <c r="E1182" s="379"/>
      <c r="F1182" s="380">
        <f t="shared" si="34"/>
        <v>0</v>
      </c>
      <c r="N1182" s="640">
        <f t="shared" si="35"/>
        <v>0</v>
      </c>
      <c r="O1182" s="640">
        <f t="shared" si="36"/>
        <v>0</v>
      </c>
    </row>
    <row r="1183" spans="1:15" s="340" customFormat="1" ht="87" customHeight="1">
      <c r="A1183" s="357" t="s">
        <v>339</v>
      </c>
      <c r="B1183" s="393" t="s">
        <v>808</v>
      </c>
      <c r="C1183" s="377" t="s">
        <v>804</v>
      </c>
      <c r="D1183" s="378">
        <v>3</v>
      </c>
      <c r="E1183" s="379"/>
      <c r="F1183" s="380">
        <f t="shared" si="34"/>
        <v>0</v>
      </c>
      <c r="N1183" s="640">
        <f t="shared" si="35"/>
        <v>0</v>
      </c>
      <c r="O1183" s="640">
        <f t="shared" si="36"/>
        <v>0</v>
      </c>
    </row>
    <row r="1184" spans="1:15" s="340" customFormat="1" ht="86.25" customHeight="1">
      <c r="A1184" s="357" t="s">
        <v>342</v>
      </c>
      <c r="B1184" s="393" t="s">
        <v>809</v>
      </c>
      <c r="C1184" s="377" t="s">
        <v>804</v>
      </c>
      <c r="D1184" s="378">
        <v>2</v>
      </c>
      <c r="E1184" s="379"/>
      <c r="F1184" s="380">
        <f t="shared" si="34"/>
        <v>0</v>
      </c>
      <c r="N1184" s="640">
        <f t="shared" si="35"/>
        <v>0</v>
      </c>
      <c r="O1184" s="640">
        <f t="shared" si="36"/>
        <v>0</v>
      </c>
    </row>
    <row r="1185" spans="1:15" s="365" customFormat="1" ht="96.75" customHeight="1">
      <c r="A1185" s="357" t="s">
        <v>368</v>
      </c>
      <c r="B1185" s="393" t="s">
        <v>810</v>
      </c>
      <c r="C1185" s="377" t="s">
        <v>804</v>
      </c>
      <c r="D1185" s="378">
        <v>37</v>
      </c>
      <c r="E1185" s="379"/>
      <c r="F1185" s="380">
        <f t="shared" si="34"/>
        <v>0</v>
      </c>
      <c r="I1185" s="340"/>
      <c r="N1185" s="640">
        <f t="shared" si="35"/>
        <v>0</v>
      </c>
      <c r="O1185" s="640">
        <f t="shared" si="36"/>
        <v>0</v>
      </c>
    </row>
    <row r="1186" spans="1:15" s="340" customFormat="1" ht="126.75" customHeight="1">
      <c r="A1186" s="357" t="s">
        <v>380</v>
      </c>
      <c r="B1186" s="393" t="s">
        <v>811</v>
      </c>
      <c r="C1186" s="377" t="s">
        <v>804</v>
      </c>
      <c r="D1186" s="378">
        <v>48</v>
      </c>
      <c r="E1186" s="379"/>
      <c r="F1186" s="380">
        <f t="shared" si="34"/>
        <v>0</v>
      </c>
      <c r="N1186" s="640">
        <f t="shared" si="35"/>
        <v>0</v>
      </c>
      <c r="O1186" s="640">
        <f t="shared" si="36"/>
        <v>0</v>
      </c>
    </row>
    <row r="1187" spans="1:15" s="365" customFormat="1" ht="15.75">
      <c r="A1187" s="1241" t="s">
        <v>812</v>
      </c>
      <c r="B1187" s="1242"/>
      <c r="C1187" s="1242"/>
      <c r="D1187" s="348"/>
      <c r="E1187" s="349"/>
      <c r="F1187" s="394">
        <f>SUM(F1179:F1186)</f>
        <v>0</v>
      </c>
      <c r="I1187" s="340"/>
      <c r="N1187" s="907"/>
      <c r="O1187" s="908">
        <f>SUM(O1179:O1186)</f>
        <v>0</v>
      </c>
    </row>
    <row r="1188" spans="1:15" s="340" customFormat="1" ht="18" customHeight="1">
      <c r="A1188" s="366"/>
      <c r="B1188" s="367"/>
      <c r="C1188" s="368"/>
      <c r="D1188" s="369"/>
      <c r="E1188" s="370"/>
      <c r="F1188" s="370"/>
      <c r="N1188" s="640"/>
      <c r="O1188" s="640"/>
    </row>
    <row r="1189" spans="1:15" s="365" customFormat="1" ht="15.75">
      <c r="A1189" s="356" t="s">
        <v>813</v>
      </c>
      <c r="B1189" s="1234" t="s">
        <v>814</v>
      </c>
      <c r="C1189" s="1235"/>
      <c r="D1189" s="1235"/>
      <c r="E1189" s="1235"/>
      <c r="F1189" s="1236"/>
      <c r="I1189" s="340"/>
      <c r="N1189" s="642"/>
      <c r="O1189" s="642"/>
    </row>
    <row r="1190" spans="1:15" s="340" customFormat="1" ht="125.25" customHeight="1">
      <c r="A1190" s="395" t="s">
        <v>325</v>
      </c>
      <c r="B1190" s="396" t="s">
        <v>815</v>
      </c>
      <c r="C1190" s="372" t="s">
        <v>764</v>
      </c>
      <c r="D1190" s="373">
        <v>1</v>
      </c>
      <c r="E1190" s="374"/>
      <c r="F1190" s="375">
        <f>D1190*E1190</f>
        <v>0</v>
      </c>
      <c r="N1190" s="640">
        <f>E1190*1.2</f>
        <v>0</v>
      </c>
      <c r="O1190" s="640">
        <f>N1190*D1190</f>
        <v>0</v>
      </c>
    </row>
    <row r="1191" spans="1:15" s="340" customFormat="1" ht="15.75">
      <c r="A1191" s="1241" t="s">
        <v>816</v>
      </c>
      <c r="B1191" s="1242"/>
      <c r="C1191" s="1242"/>
      <c r="D1191" s="348"/>
      <c r="E1191" s="349"/>
      <c r="F1191" s="394">
        <f>SUM(F1190:F1190)</f>
        <v>0</v>
      </c>
      <c r="N1191" s="911"/>
      <c r="O1191" s="394">
        <f>SUM(O1190:O1190)</f>
        <v>0</v>
      </c>
    </row>
    <row r="1192" spans="1:15" s="340" customFormat="1" ht="18" customHeight="1">
      <c r="A1192" s="366"/>
      <c r="B1192" s="397"/>
      <c r="C1192" s="368"/>
      <c r="D1192" s="369"/>
      <c r="E1192" s="370"/>
      <c r="F1192" s="370"/>
      <c r="N1192" s="640"/>
      <c r="O1192" s="640"/>
    </row>
    <row r="1193" spans="1:15" s="340" customFormat="1" ht="15.75">
      <c r="A1193" s="356" t="s">
        <v>817</v>
      </c>
      <c r="B1193" s="1234" t="s">
        <v>818</v>
      </c>
      <c r="C1193" s="1235"/>
      <c r="D1193" s="1235"/>
      <c r="E1193" s="1235"/>
      <c r="F1193" s="1236"/>
      <c r="N1193" s="640"/>
      <c r="O1193" s="640"/>
    </row>
    <row r="1194" spans="1:15" s="340" customFormat="1" ht="89.25">
      <c r="A1194" s="395" t="s">
        <v>325</v>
      </c>
      <c r="B1194" s="398" t="s">
        <v>819</v>
      </c>
      <c r="C1194" s="372" t="s">
        <v>764</v>
      </c>
      <c r="D1194" s="373">
        <v>1</v>
      </c>
      <c r="E1194" s="374"/>
      <c r="F1194" s="375">
        <f>D1194*E1194</f>
        <v>0</v>
      </c>
      <c r="N1194" s="640">
        <f>E1194*1.2</f>
        <v>0</v>
      </c>
      <c r="O1194" s="640">
        <f>N1194*D1194</f>
        <v>0</v>
      </c>
    </row>
    <row r="1195" spans="1:15" s="340" customFormat="1" ht="15.75">
      <c r="A1195" s="1241" t="s">
        <v>820</v>
      </c>
      <c r="B1195" s="1242"/>
      <c r="C1195" s="1242"/>
      <c r="D1195" s="348"/>
      <c r="E1195" s="349"/>
      <c r="F1195" s="394">
        <f>SUM(F1194:F1194)</f>
        <v>0</v>
      </c>
      <c r="N1195" s="911"/>
      <c r="O1195" s="394">
        <f>SUM(O1194:O1194)</f>
        <v>0</v>
      </c>
    </row>
    <row r="1196" spans="1:15" s="340" customFormat="1" ht="15.75" customHeight="1">
      <c r="A1196" s="366"/>
      <c r="B1196" s="397"/>
      <c r="C1196" s="368"/>
      <c r="D1196" s="369"/>
      <c r="E1196" s="370"/>
      <c r="F1196" s="370"/>
      <c r="N1196" s="640"/>
      <c r="O1196" s="640"/>
    </row>
    <row r="1197" spans="1:15" s="365" customFormat="1" ht="15" customHeight="1">
      <c r="A1197" s="1252" t="s">
        <v>821</v>
      </c>
      <c r="B1197" s="1252"/>
      <c r="C1197" s="1252"/>
      <c r="D1197" s="1252"/>
      <c r="E1197" s="1252"/>
      <c r="F1197" s="1252"/>
      <c r="N1197" s="642"/>
      <c r="O1197" s="642"/>
    </row>
    <row r="1198" spans="1:15" s="400" customFormat="1" ht="16.5" customHeight="1">
      <c r="A1198" s="1253" t="s">
        <v>822</v>
      </c>
      <c r="B1198" s="1253"/>
      <c r="C1198" s="1253"/>
      <c r="D1198" s="1253"/>
      <c r="E1198" s="1253"/>
      <c r="F1198" s="1253"/>
      <c r="N1198" s="644"/>
      <c r="O1198" s="644"/>
    </row>
    <row r="1199" spans="1:15" s="400" customFormat="1" ht="16.5" customHeight="1">
      <c r="A1199" s="401"/>
      <c r="B1199" s="402"/>
      <c r="C1199" s="401"/>
      <c r="D1199" s="403"/>
      <c r="E1199" s="401"/>
      <c r="F1199" s="401"/>
      <c r="N1199" s="644"/>
      <c r="O1199" s="644"/>
    </row>
    <row r="1200" spans="1:15" s="406" customFormat="1" ht="15">
      <c r="A1200" s="399"/>
      <c r="B1200" s="404"/>
      <c r="C1200" s="399"/>
      <c r="D1200" s="405"/>
      <c r="E1200" s="399"/>
      <c r="F1200" s="399"/>
      <c r="N1200" s="645"/>
      <c r="O1200" s="645"/>
    </row>
    <row r="1201" spans="1:15" s="406" customFormat="1" ht="15">
      <c r="A1201" s="407" t="s">
        <v>823</v>
      </c>
      <c r="B1201" s="408" t="s">
        <v>689</v>
      </c>
      <c r="C1201" s="409"/>
      <c r="D1201" s="410"/>
      <c r="E1201" s="411"/>
      <c r="F1201" s="412">
        <f>F1137</f>
        <v>0</v>
      </c>
      <c r="N1201" s="645"/>
      <c r="O1201" s="412">
        <f>O1137</f>
        <v>0</v>
      </c>
    </row>
    <row r="1202" spans="1:15" s="406" customFormat="1" ht="15" customHeight="1">
      <c r="A1202" s="407" t="s">
        <v>824</v>
      </c>
      <c r="B1202" s="408" t="s">
        <v>825</v>
      </c>
      <c r="C1202" s="409"/>
      <c r="D1202" s="410"/>
      <c r="E1202" s="411"/>
      <c r="F1202" s="412">
        <f>F1146</f>
        <v>0</v>
      </c>
      <c r="N1202" s="645"/>
      <c r="O1202" s="412">
        <f>O1146</f>
        <v>0</v>
      </c>
    </row>
    <row r="1203" spans="1:15" s="406" customFormat="1" ht="15" customHeight="1">
      <c r="A1203" s="407">
        <f>$A$19</f>
        <v>0</v>
      </c>
      <c r="B1203" s="408" t="s">
        <v>771</v>
      </c>
      <c r="C1203" s="409"/>
      <c r="D1203" s="410"/>
      <c r="E1203" s="411"/>
      <c r="F1203" s="412">
        <f>F1163</f>
        <v>0</v>
      </c>
      <c r="N1203" s="645"/>
      <c r="O1203" s="412">
        <f>O1163</f>
        <v>0</v>
      </c>
    </row>
    <row r="1204" spans="1:15" s="406" customFormat="1" ht="15">
      <c r="A1204" s="407" t="str">
        <f>$A$36</f>
        <v>р.б.</v>
      </c>
      <c r="B1204" s="408" t="s">
        <v>789</v>
      </c>
      <c r="C1204" s="409"/>
      <c r="D1204" s="410"/>
      <c r="E1204" s="411"/>
      <c r="F1204" s="412">
        <f>F1176</f>
        <v>0</v>
      </c>
      <c r="N1204" s="645"/>
      <c r="O1204" s="412">
        <f>O1176</f>
        <v>0</v>
      </c>
    </row>
    <row r="1205" spans="1:15" s="406" customFormat="1" ht="15" customHeight="1">
      <c r="A1205" s="407">
        <f>$A$49</f>
        <v>0</v>
      </c>
      <c r="B1205" s="408" t="s">
        <v>802</v>
      </c>
      <c r="C1205" s="409"/>
      <c r="D1205" s="410"/>
      <c r="E1205" s="411"/>
      <c r="F1205" s="412">
        <f>F1187</f>
        <v>0</v>
      </c>
      <c r="N1205" s="645"/>
      <c r="O1205" s="412">
        <f>O1187</f>
        <v>0</v>
      </c>
    </row>
    <row r="1206" spans="1:15" s="365" customFormat="1" ht="15">
      <c r="A1206" s="407" t="s">
        <v>826</v>
      </c>
      <c r="B1206" s="408" t="s">
        <v>814</v>
      </c>
      <c r="C1206" s="409"/>
      <c r="D1206" s="410"/>
      <c r="E1206" s="411"/>
      <c r="F1206" s="412">
        <f>F1191</f>
        <v>0</v>
      </c>
      <c r="N1206" s="642"/>
      <c r="O1206" s="412">
        <f>O1191</f>
        <v>0</v>
      </c>
    </row>
    <row r="1207" spans="1:15" s="340" customFormat="1" ht="15.75" thickBot="1">
      <c r="A1207" s="407" t="s">
        <v>827</v>
      </c>
      <c r="B1207" s="408" t="s">
        <v>818</v>
      </c>
      <c r="C1207" s="409"/>
      <c r="D1207" s="410"/>
      <c r="E1207" s="411"/>
      <c r="F1207" s="412">
        <f>F1195</f>
        <v>0</v>
      </c>
      <c r="N1207" s="640"/>
      <c r="O1207" s="412">
        <f>O1195</f>
        <v>0</v>
      </c>
    </row>
    <row r="1208" spans="1:15" s="340" customFormat="1" ht="15.75">
      <c r="A1208" s="1254" t="s">
        <v>828</v>
      </c>
      <c r="B1208" s="1255"/>
      <c r="C1208" s="1255"/>
      <c r="D1208" s="913"/>
      <c r="E1208" s="914"/>
      <c r="F1208" s="915">
        <f>SUM(F1201:F1207)</f>
        <v>0</v>
      </c>
      <c r="G1208" s="916"/>
      <c r="H1208" s="916"/>
      <c r="I1208" s="916"/>
      <c r="J1208" s="916"/>
      <c r="K1208" s="916"/>
      <c r="L1208" s="916"/>
      <c r="M1208" s="916"/>
      <c r="N1208" s="917"/>
      <c r="O1208" s="915">
        <f>SUM(O1201:O1207)</f>
        <v>0</v>
      </c>
    </row>
    <row r="1209" spans="1:15" s="340" customFormat="1" ht="15.75">
      <c r="A1209" s="413"/>
      <c r="B1209" s="414"/>
      <c r="C1209" s="414"/>
      <c r="D1209" s="415"/>
      <c r="E1209" s="416"/>
      <c r="F1209" s="417"/>
      <c r="N1209" s="640"/>
      <c r="O1209" s="640"/>
    </row>
    <row r="1210" spans="1:15" s="340" customFormat="1" ht="15.75">
      <c r="A1210" s="413"/>
      <c r="B1210" s="414"/>
      <c r="C1210" s="414"/>
      <c r="D1210" s="415"/>
      <c r="E1210" s="416"/>
      <c r="F1210" s="417"/>
      <c r="N1210" s="640"/>
      <c r="O1210" s="640"/>
    </row>
    <row r="1211" spans="1:15" ht="36" customHeight="1">
      <c r="A1211" s="1225" t="s">
        <v>829</v>
      </c>
      <c r="B1211" s="1225"/>
      <c r="C1211" s="1225"/>
      <c r="D1211" s="1225"/>
      <c r="E1211" s="1225"/>
      <c r="F1211" s="1109"/>
      <c r="G1211" s="38" t="s">
        <v>0</v>
      </c>
      <c r="H1211" s="38">
        <v>122</v>
      </c>
      <c r="N1211" s="89"/>
      <c r="O1211" s="89"/>
    </row>
    <row r="1212" spans="1:181" s="421" customFormat="1" ht="15.75" customHeight="1">
      <c r="A1212" s="418" t="s">
        <v>687</v>
      </c>
      <c r="B1212" s="419" t="s">
        <v>830</v>
      </c>
      <c r="C1212" s="1240"/>
      <c r="D1212" s="1240"/>
      <c r="E1212" s="1240"/>
      <c r="F1212" s="1240"/>
      <c r="G1212" s="420"/>
      <c r="H1212" s="420"/>
      <c r="I1212" s="420"/>
      <c r="J1212" s="420"/>
      <c r="K1212" s="420"/>
      <c r="L1212" s="420"/>
      <c r="M1212" s="420"/>
      <c r="N1212" s="646"/>
      <c r="O1212" s="646"/>
      <c r="P1212" s="420"/>
      <c r="Q1212" s="420"/>
      <c r="R1212" s="420"/>
      <c r="S1212" s="420"/>
      <c r="T1212" s="420"/>
      <c r="U1212" s="420"/>
      <c r="V1212" s="420"/>
      <c r="W1212" s="420"/>
      <c r="X1212" s="420"/>
      <c r="Y1212" s="420"/>
      <c r="Z1212" s="420"/>
      <c r="AA1212" s="420"/>
      <c r="AB1212" s="420"/>
      <c r="AC1212" s="420"/>
      <c r="AD1212" s="420"/>
      <c r="AE1212" s="420"/>
      <c r="AF1212" s="420"/>
      <c r="AG1212" s="420"/>
      <c r="AH1212" s="420"/>
      <c r="AI1212" s="420"/>
      <c r="AJ1212" s="420"/>
      <c r="AK1212" s="420"/>
      <c r="AL1212" s="420"/>
      <c r="AM1212" s="420"/>
      <c r="AN1212" s="420"/>
      <c r="AO1212" s="420"/>
      <c r="AP1212" s="420"/>
      <c r="AQ1212" s="420"/>
      <c r="AR1212" s="420"/>
      <c r="AS1212" s="420"/>
      <c r="AT1212" s="420"/>
      <c r="AU1212" s="420"/>
      <c r="AV1212" s="420"/>
      <c r="AW1212" s="420"/>
      <c r="AX1212" s="420"/>
      <c r="AY1212" s="420"/>
      <c r="AZ1212" s="420"/>
      <c r="BA1212" s="420"/>
      <c r="BB1212" s="420"/>
      <c r="BC1212" s="420"/>
      <c r="BD1212" s="420"/>
      <c r="BE1212" s="420"/>
      <c r="BF1212" s="420"/>
      <c r="BG1212" s="420"/>
      <c r="BH1212" s="420"/>
      <c r="BI1212" s="420"/>
      <c r="BJ1212" s="420"/>
      <c r="BK1212" s="420"/>
      <c r="BL1212" s="420"/>
      <c r="BM1212" s="420"/>
      <c r="BN1212" s="420"/>
      <c r="BO1212" s="420"/>
      <c r="BP1212" s="420"/>
      <c r="BQ1212" s="420"/>
      <c r="BR1212" s="420"/>
      <c r="BS1212" s="420"/>
      <c r="BT1212" s="420"/>
      <c r="BU1212" s="420"/>
      <c r="BV1212" s="420"/>
      <c r="BW1212" s="420"/>
      <c r="BX1212" s="420"/>
      <c r="BY1212" s="420"/>
      <c r="BZ1212" s="420"/>
      <c r="CA1212" s="420"/>
      <c r="CB1212" s="420"/>
      <c r="CC1212" s="420"/>
      <c r="CD1212" s="420"/>
      <c r="CE1212" s="420"/>
      <c r="CF1212" s="420"/>
      <c r="CG1212" s="420"/>
      <c r="CH1212" s="420"/>
      <c r="CI1212" s="420"/>
      <c r="CJ1212" s="420"/>
      <c r="CK1212" s="420"/>
      <c r="CL1212" s="420"/>
      <c r="CM1212" s="420"/>
      <c r="CN1212" s="420"/>
      <c r="CO1212" s="420"/>
      <c r="CP1212" s="420"/>
      <c r="CQ1212" s="420"/>
      <c r="CR1212" s="420"/>
      <c r="CS1212" s="420"/>
      <c r="CT1212" s="420"/>
      <c r="CU1212" s="420"/>
      <c r="CV1212" s="420"/>
      <c r="CW1212" s="420"/>
      <c r="CX1212" s="420"/>
      <c r="CY1212" s="420"/>
      <c r="CZ1212" s="420"/>
      <c r="DA1212" s="420"/>
      <c r="DB1212" s="420"/>
      <c r="DC1212" s="420"/>
      <c r="DD1212" s="420"/>
      <c r="DE1212" s="420"/>
      <c r="DF1212" s="420"/>
      <c r="DG1212" s="420"/>
      <c r="DH1212" s="420"/>
      <c r="DI1212" s="420"/>
      <c r="DJ1212" s="420"/>
      <c r="DK1212" s="420"/>
      <c r="DL1212" s="420"/>
      <c r="DM1212" s="420"/>
      <c r="DN1212" s="420"/>
      <c r="DO1212" s="420"/>
      <c r="DP1212" s="420"/>
      <c r="DQ1212" s="420"/>
      <c r="DR1212" s="420"/>
      <c r="DS1212" s="420"/>
      <c r="DT1212" s="420"/>
      <c r="DU1212" s="420"/>
      <c r="DV1212" s="420"/>
      <c r="DW1212" s="420"/>
      <c r="DX1212" s="420"/>
      <c r="DY1212" s="420"/>
      <c r="DZ1212" s="420"/>
      <c r="EA1212" s="420"/>
      <c r="EB1212" s="420"/>
      <c r="EC1212" s="420"/>
      <c r="ED1212" s="420"/>
      <c r="EE1212" s="420"/>
      <c r="EF1212" s="420"/>
      <c r="EG1212" s="420"/>
      <c r="EH1212" s="420"/>
      <c r="EI1212" s="420"/>
      <c r="EJ1212" s="420"/>
      <c r="EK1212" s="420"/>
      <c r="EL1212" s="420"/>
      <c r="EM1212" s="420"/>
      <c r="EN1212" s="420"/>
      <c r="EO1212" s="420"/>
      <c r="EP1212" s="420"/>
      <c r="EQ1212" s="420"/>
      <c r="ER1212" s="420"/>
      <c r="ES1212" s="420"/>
      <c r="ET1212" s="420"/>
      <c r="EU1212" s="420"/>
      <c r="EV1212" s="420"/>
      <c r="EW1212" s="420"/>
      <c r="EX1212" s="420"/>
      <c r="EY1212" s="420"/>
      <c r="EZ1212" s="420"/>
      <c r="FA1212" s="420"/>
      <c r="FB1212" s="420"/>
      <c r="FC1212" s="420"/>
      <c r="FD1212" s="420"/>
      <c r="FE1212" s="420"/>
      <c r="FF1212" s="420"/>
      <c r="FG1212" s="420"/>
      <c r="FH1212" s="420"/>
      <c r="FI1212" s="420"/>
      <c r="FJ1212" s="420"/>
      <c r="FK1212" s="420"/>
      <c r="FL1212" s="420"/>
      <c r="FM1212" s="420"/>
      <c r="FN1212" s="420"/>
      <c r="FO1212" s="420"/>
      <c r="FP1212" s="420"/>
      <c r="FQ1212" s="420"/>
      <c r="FR1212" s="420"/>
      <c r="FS1212" s="420"/>
      <c r="FT1212" s="420"/>
      <c r="FU1212" s="420"/>
      <c r="FV1212" s="420"/>
      <c r="FW1212" s="420"/>
      <c r="FX1212" s="420"/>
      <c r="FY1212" s="420"/>
    </row>
    <row r="1213" spans="1:181" s="421" customFormat="1" ht="30" customHeight="1">
      <c r="A1213" s="630" t="s">
        <v>38</v>
      </c>
      <c r="B1213" s="898" t="s">
        <v>39</v>
      </c>
      <c r="C1213" s="899" t="s">
        <v>40</v>
      </c>
      <c r="D1213" s="899" t="s">
        <v>41</v>
      </c>
      <c r="E1213" s="900" t="s">
        <v>1261</v>
      </c>
      <c r="F1213" s="900" t="s">
        <v>1262</v>
      </c>
      <c r="G1213" s="600"/>
      <c r="H1213" s="601"/>
      <c r="I1213" s="601"/>
      <c r="J1213" s="146"/>
      <c r="K1213" s="146"/>
      <c r="L1213" s="601"/>
      <c r="M1213" s="146"/>
      <c r="N1213" s="631" t="s">
        <v>1264</v>
      </c>
      <c r="O1213" s="631" t="s">
        <v>1263</v>
      </c>
      <c r="P1213" s="420"/>
      <c r="Q1213" s="420"/>
      <c r="R1213" s="420"/>
      <c r="S1213" s="420"/>
      <c r="T1213" s="420"/>
      <c r="U1213" s="420"/>
      <c r="V1213" s="420"/>
      <c r="W1213" s="420"/>
      <c r="X1213" s="420"/>
      <c r="Y1213" s="420"/>
      <c r="Z1213" s="420"/>
      <c r="AA1213" s="420"/>
      <c r="AB1213" s="420"/>
      <c r="AC1213" s="420"/>
      <c r="AD1213" s="420"/>
      <c r="AE1213" s="420"/>
      <c r="AF1213" s="420"/>
      <c r="AG1213" s="420"/>
      <c r="AH1213" s="420"/>
      <c r="AI1213" s="420"/>
      <c r="AJ1213" s="420"/>
      <c r="AK1213" s="420"/>
      <c r="AL1213" s="420"/>
      <c r="AM1213" s="420"/>
      <c r="AN1213" s="420"/>
      <c r="AO1213" s="420"/>
      <c r="AP1213" s="420"/>
      <c r="AQ1213" s="420"/>
      <c r="AR1213" s="420"/>
      <c r="AS1213" s="420"/>
      <c r="AT1213" s="420"/>
      <c r="AU1213" s="420"/>
      <c r="AV1213" s="420"/>
      <c r="AW1213" s="420"/>
      <c r="AX1213" s="420"/>
      <c r="AY1213" s="420"/>
      <c r="AZ1213" s="420"/>
      <c r="BA1213" s="420"/>
      <c r="BB1213" s="420"/>
      <c r="BC1213" s="420"/>
      <c r="BD1213" s="420"/>
      <c r="BE1213" s="420"/>
      <c r="BF1213" s="420"/>
      <c r="BG1213" s="420"/>
      <c r="BH1213" s="420"/>
      <c r="BI1213" s="420"/>
      <c r="BJ1213" s="420"/>
      <c r="BK1213" s="420"/>
      <c r="BL1213" s="420"/>
      <c r="BM1213" s="420"/>
      <c r="BN1213" s="420"/>
      <c r="BO1213" s="420"/>
      <c r="BP1213" s="420"/>
      <c r="BQ1213" s="420"/>
      <c r="BR1213" s="420"/>
      <c r="BS1213" s="420"/>
      <c r="BT1213" s="420"/>
      <c r="BU1213" s="420"/>
      <c r="BV1213" s="420"/>
      <c r="BW1213" s="420"/>
      <c r="BX1213" s="420"/>
      <c r="BY1213" s="420"/>
      <c r="BZ1213" s="420"/>
      <c r="CA1213" s="420"/>
      <c r="CB1213" s="420"/>
      <c r="CC1213" s="420"/>
      <c r="CD1213" s="420"/>
      <c r="CE1213" s="420"/>
      <c r="CF1213" s="420"/>
      <c r="CG1213" s="420"/>
      <c r="CH1213" s="420"/>
      <c r="CI1213" s="420"/>
      <c r="CJ1213" s="420"/>
      <c r="CK1213" s="420"/>
      <c r="CL1213" s="420"/>
      <c r="CM1213" s="420"/>
      <c r="CN1213" s="420"/>
      <c r="CO1213" s="420"/>
      <c r="CP1213" s="420"/>
      <c r="CQ1213" s="420"/>
      <c r="CR1213" s="420"/>
      <c r="CS1213" s="420"/>
      <c r="CT1213" s="420"/>
      <c r="CU1213" s="420"/>
      <c r="CV1213" s="420"/>
      <c r="CW1213" s="420"/>
      <c r="CX1213" s="420"/>
      <c r="CY1213" s="420"/>
      <c r="CZ1213" s="420"/>
      <c r="DA1213" s="420"/>
      <c r="DB1213" s="420"/>
      <c r="DC1213" s="420"/>
      <c r="DD1213" s="420"/>
      <c r="DE1213" s="420"/>
      <c r="DF1213" s="420"/>
      <c r="DG1213" s="420"/>
      <c r="DH1213" s="420"/>
      <c r="DI1213" s="420"/>
      <c r="DJ1213" s="420"/>
      <c r="DK1213" s="420"/>
      <c r="DL1213" s="420"/>
      <c r="DM1213" s="420"/>
      <c r="DN1213" s="420"/>
      <c r="DO1213" s="420"/>
      <c r="DP1213" s="420"/>
      <c r="DQ1213" s="420"/>
      <c r="DR1213" s="420"/>
      <c r="DS1213" s="420"/>
      <c r="DT1213" s="420"/>
      <c r="DU1213" s="420"/>
      <c r="DV1213" s="420"/>
      <c r="DW1213" s="420"/>
      <c r="DX1213" s="420"/>
      <c r="DY1213" s="420"/>
      <c r="DZ1213" s="420"/>
      <c r="EA1213" s="420"/>
      <c r="EB1213" s="420"/>
      <c r="EC1213" s="420"/>
      <c r="ED1213" s="420"/>
      <c r="EE1213" s="420"/>
      <c r="EF1213" s="420"/>
      <c r="EG1213" s="420"/>
      <c r="EH1213" s="420"/>
      <c r="EI1213" s="420"/>
      <c r="EJ1213" s="420"/>
      <c r="EK1213" s="420"/>
      <c r="EL1213" s="420"/>
      <c r="EM1213" s="420"/>
      <c r="EN1213" s="420"/>
      <c r="EO1213" s="420"/>
      <c r="EP1213" s="420"/>
      <c r="EQ1213" s="420"/>
      <c r="ER1213" s="420"/>
      <c r="ES1213" s="420"/>
      <c r="ET1213" s="420"/>
      <c r="EU1213" s="420"/>
      <c r="EV1213" s="420"/>
      <c r="EW1213" s="420"/>
      <c r="EX1213" s="420"/>
      <c r="EY1213" s="420"/>
      <c r="EZ1213" s="420"/>
      <c r="FA1213" s="420"/>
      <c r="FB1213" s="420"/>
      <c r="FC1213" s="420"/>
      <c r="FD1213" s="420"/>
      <c r="FE1213" s="420"/>
      <c r="FF1213" s="420"/>
      <c r="FG1213" s="420"/>
      <c r="FH1213" s="420"/>
      <c r="FI1213" s="420"/>
      <c r="FJ1213" s="420"/>
      <c r="FK1213" s="420"/>
      <c r="FL1213" s="420"/>
      <c r="FM1213" s="420"/>
      <c r="FN1213" s="420"/>
      <c r="FO1213" s="420"/>
      <c r="FP1213" s="420"/>
      <c r="FQ1213" s="420"/>
      <c r="FR1213" s="420"/>
      <c r="FS1213" s="420"/>
      <c r="FT1213" s="420"/>
      <c r="FU1213" s="420"/>
      <c r="FV1213" s="420"/>
      <c r="FW1213" s="420"/>
      <c r="FX1213" s="420"/>
      <c r="FY1213" s="420"/>
    </row>
    <row r="1214" spans="1:181" s="421" customFormat="1" ht="15.75" customHeight="1">
      <c r="A1214" s="918"/>
      <c r="B1214" s="919"/>
      <c r="C1214" s="920"/>
      <c r="D1214" s="921"/>
      <c r="E1214" s="922"/>
      <c r="F1214" s="923"/>
      <c r="G1214" s="420"/>
      <c r="H1214" s="420"/>
      <c r="I1214" s="420"/>
      <c r="J1214" s="420"/>
      <c r="K1214" s="420"/>
      <c r="L1214" s="420"/>
      <c r="M1214" s="420"/>
      <c r="N1214" s="646"/>
      <c r="O1214" s="646"/>
      <c r="P1214" s="420"/>
      <c r="Q1214" s="420"/>
      <c r="R1214" s="420"/>
      <c r="S1214" s="420"/>
      <c r="T1214" s="420"/>
      <c r="U1214" s="420"/>
      <c r="V1214" s="420"/>
      <c r="W1214" s="420"/>
      <c r="X1214" s="420"/>
      <c r="Y1214" s="420"/>
      <c r="Z1214" s="420"/>
      <c r="AA1214" s="420"/>
      <c r="AB1214" s="420"/>
      <c r="AC1214" s="420"/>
      <c r="AD1214" s="420"/>
      <c r="AE1214" s="420"/>
      <c r="AF1214" s="420"/>
      <c r="AG1214" s="420"/>
      <c r="AH1214" s="420"/>
      <c r="AI1214" s="420"/>
      <c r="AJ1214" s="420"/>
      <c r="AK1214" s="420"/>
      <c r="AL1214" s="420"/>
      <c r="AM1214" s="420"/>
      <c r="AN1214" s="420"/>
      <c r="AO1214" s="420"/>
      <c r="AP1214" s="420"/>
      <c r="AQ1214" s="420"/>
      <c r="AR1214" s="420"/>
      <c r="AS1214" s="420"/>
      <c r="AT1214" s="420"/>
      <c r="AU1214" s="420"/>
      <c r="AV1214" s="420"/>
      <c r="AW1214" s="420"/>
      <c r="AX1214" s="420"/>
      <c r="AY1214" s="420"/>
      <c r="AZ1214" s="420"/>
      <c r="BA1214" s="420"/>
      <c r="BB1214" s="420"/>
      <c r="BC1214" s="420"/>
      <c r="BD1214" s="420"/>
      <c r="BE1214" s="420"/>
      <c r="BF1214" s="420"/>
      <c r="BG1214" s="420"/>
      <c r="BH1214" s="420"/>
      <c r="BI1214" s="420"/>
      <c r="BJ1214" s="420"/>
      <c r="BK1214" s="420"/>
      <c r="BL1214" s="420"/>
      <c r="BM1214" s="420"/>
      <c r="BN1214" s="420"/>
      <c r="BO1214" s="420"/>
      <c r="BP1214" s="420"/>
      <c r="BQ1214" s="420"/>
      <c r="BR1214" s="420"/>
      <c r="BS1214" s="420"/>
      <c r="BT1214" s="420"/>
      <c r="BU1214" s="420"/>
      <c r="BV1214" s="420"/>
      <c r="BW1214" s="420"/>
      <c r="BX1214" s="420"/>
      <c r="BY1214" s="420"/>
      <c r="BZ1214" s="420"/>
      <c r="CA1214" s="420"/>
      <c r="CB1214" s="420"/>
      <c r="CC1214" s="420"/>
      <c r="CD1214" s="420"/>
      <c r="CE1214" s="420"/>
      <c r="CF1214" s="420"/>
      <c r="CG1214" s="420"/>
      <c r="CH1214" s="420"/>
      <c r="CI1214" s="420"/>
      <c r="CJ1214" s="420"/>
      <c r="CK1214" s="420"/>
      <c r="CL1214" s="420"/>
      <c r="CM1214" s="420"/>
      <c r="CN1214" s="420"/>
      <c r="CO1214" s="420"/>
      <c r="CP1214" s="420"/>
      <c r="CQ1214" s="420"/>
      <c r="CR1214" s="420"/>
      <c r="CS1214" s="420"/>
      <c r="CT1214" s="420"/>
      <c r="CU1214" s="420"/>
      <c r="CV1214" s="420"/>
      <c r="CW1214" s="420"/>
      <c r="CX1214" s="420"/>
      <c r="CY1214" s="420"/>
      <c r="CZ1214" s="420"/>
      <c r="DA1214" s="420"/>
      <c r="DB1214" s="420"/>
      <c r="DC1214" s="420"/>
      <c r="DD1214" s="420"/>
      <c r="DE1214" s="420"/>
      <c r="DF1214" s="420"/>
      <c r="DG1214" s="420"/>
      <c r="DH1214" s="420"/>
      <c r="DI1214" s="420"/>
      <c r="DJ1214" s="420"/>
      <c r="DK1214" s="420"/>
      <c r="DL1214" s="420"/>
      <c r="DM1214" s="420"/>
      <c r="DN1214" s="420"/>
      <c r="DO1214" s="420"/>
      <c r="DP1214" s="420"/>
      <c r="DQ1214" s="420"/>
      <c r="DR1214" s="420"/>
      <c r="DS1214" s="420"/>
      <c r="DT1214" s="420"/>
      <c r="DU1214" s="420"/>
      <c r="DV1214" s="420"/>
      <c r="DW1214" s="420"/>
      <c r="DX1214" s="420"/>
      <c r="DY1214" s="420"/>
      <c r="DZ1214" s="420"/>
      <c r="EA1214" s="420"/>
      <c r="EB1214" s="420"/>
      <c r="EC1214" s="420"/>
      <c r="ED1214" s="420"/>
      <c r="EE1214" s="420"/>
      <c r="EF1214" s="420"/>
      <c r="EG1214" s="420"/>
      <c r="EH1214" s="420"/>
      <c r="EI1214" s="420"/>
      <c r="EJ1214" s="420"/>
      <c r="EK1214" s="420"/>
      <c r="EL1214" s="420"/>
      <c r="EM1214" s="420"/>
      <c r="EN1214" s="420"/>
      <c r="EO1214" s="420"/>
      <c r="EP1214" s="420"/>
      <c r="EQ1214" s="420"/>
      <c r="ER1214" s="420"/>
      <c r="ES1214" s="420"/>
      <c r="ET1214" s="420"/>
      <c r="EU1214" s="420"/>
      <c r="EV1214" s="420"/>
      <c r="EW1214" s="420"/>
      <c r="EX1214" s="420"/>
      <c r="EY1214" s="420"/>
      <c r="EZ1214" s="420"/>
      <c r="FA1214" s="420"/>
      <c r="FB1214" s="420"/>
      <c r="FC1214" s="420"/>
      <c r="FD1214" s="420"/>
      <c r="FE1214" s="420"/>
      <c r="FF1214" s="420"/>
      <c r="FG1214" s="420"/>
      <c r="FH1214" s="420"/>
      <c r="FI1214" s="420"/>
      <c r="FJ1214" s="420"/>
      <c r="FK1214" s="420"/>
      <c r="FL1214" s="420"/>
      <c r="FM1214" s="420"/>
      <c r="FN1214" s="420"/>
      <c r="FO1214" s="420"/>
      <c r="FP1214" s="420"/>
      <c r="FQ1214" s="420"/>
      <c r="FR1214" s="420"/>
      <c r="FS1214" s="420"/>
      <c r="FT1214" s="420"/>
      <c r="FU1214" s="420"/>
      <c r="FV1214" s="420"/>
      <c r="FW1214" s="420"/>
      <c r="FX1214" s="420"/>
      <c r="FY1214" s="420"/>
    </row>
    <row r="1215" spans="1:256" s="421" customFormat="1" ht="13.5" customHeight="1">
      <c r="A1215" s="918"/>
      <c r="B1215" s="1226" t="s">
        <v>831</v>
      </c>
      <c r="C1215" s="1227"/>
      <c r="D1215" s="1227"/>
      <c r="E1215" s="1228"/>
      <c r="F1215" s="1110"/>
      <c r="G1215" s="420"/>
      <c r="H1215" s="420"/>
      <c r="I1215" s="420"/>
      <c r="J1215" s="420"/>
      <c r="K1215" s="420"/>
      <c r="L1215" s="420"/>
      <c r="M1215" s="420"/>
      <c r="N1215" s="646"/>
      <c r="O1215" s="646"/>
      <c r="P1215" s="420"/>
      <c r="Q1215" s="420"/>
      <c r="R1215" s="420"/>
      <c r="S1215" s="420"/>
      <c r="T1215" s="420"/>
      <c r="U1215" s="420"/>
      <c r="V1215" s="420"/>
      <c r="W1215" s="420"/>
      <c r="X1215" s="420"/>
      <c r="Y1215" s="420"/>
      <c r="Z1215" s="420"/>
      <c r="AA1215" s="420"/>
      <c r="AB1215" s="420"/>
      <c r="AC1215" s="420"/>
      <c r="AD1215" s="420"/>
      <c r="AE1215" s="420"/>
      <c r="AF1215" s="420"/>
      <c r="AG1215" s="420"/>
      <c r="AH1215" s="420"/>
      <c r="AI1215" s="420"/>
      <c r="AJ1215" s="420"/>
      <c r="AK1215" s="420"/>
      <c r="AL1215" s="420"/>
      <c r="AM1215" s="420"/>
      <c r="AN1215" s="420"/>
      <c r="AO1215" s="420"/>
      <c r="AP1215" s="420"/>
      <c r="AQ1215" s="420"/>
      <c r="AR1215" s="420"/>
      <c r="AS1215" s="420"/>
      <c r="AT1215" s="420"/>
      <c r="AU1215" s="420"/>
      <c r="AV1215" s="420"/>
      <c r="AW1215" s="420"/>
      <c r="AX1215" s="420"/>
      <c r="AY1215" s="420"/>
      <c r="AZ1215" s="420"/>
      <c r="BA1215" s="420"/>
      <c r="BB1215" s="420"/>
      <c r="BC1215" s="420"/>
      <c r="BD1215" s="420"/>
      <c r="BE1215" s="420"/>
      <c r="BF1215" s="420"/>
      <c r="BG1215" s="420"/>
      <c r="BH1215" s="420"/>
      <c r="BI1215" s="420"/>
      <c r="BJ1215" s="420"/>
      <c r="BK1215" s="420"/>
      <c r="BL1215" s="420"/>
      <c r="BM1215" s="420"/>
      <c r="BN1215" s="420"/>
      <c r="BO1215" s="420"/>
      <c r="BP1215" s="420"/>
      <c r="BQ1215" s="420"/>
      <c r="BR1215" s="420"/>
      <c r="BS1215" s="420"/>
      <c r="BT1215" s="420"/>
      <c r="BU1215" s="420"/>
      <c r="BV1215" s="420"/>
      <c r="BW1215" s="420"/>
      <c r="BX1215" s="420"/>
      <c r="BY1215" s="420"/>
      <c r="BZ1215" s="420"/>
      <c r="CA1215" s="420"/>
      <c r="CB1215" s="420"/>
      <c r="CC1215" s="420"/>
      <c r="CD1215" s="420"/>
      <c r="CE1215" s="420"/>
      <c r="CF1215" s="420"/>
      <c r="CG1215" s="420"/>
      <c r="CH1215" s="420"/>
      <c r="CI1215" s="420"/>
      <c r="CJ1215" s="420"/>
      <c r="CK1215" s="420"/>
      <c r="CL1215" s="420"/>
      <c r="CM1215" s="420"/>
      <c r="CN1215" s="420"/>
      <c r="CO1215" s="420"/>
      <c r="CP1215" s="420"/>
      <c r="CQ1215" s="420"/>
      <c r="CR1215" s="420"/>
      <c r="CS1215" s="420"/>
      <c r="CT1215" s="420"/>
      <c r="CU1215" s="420"/>
      <c r="CV1215" s="420"/>
      <c r="CW1215" s="420"/>
      <c r="CX1215" s="420"/>
      <c r="CY1215" s="420"/>
      <c r="CZ1215" s="420"/>
      <c r="DA1215" s="420"/>
      <c r="DB1215" s="420"/>
      <c r="DC1215" s="420"/>
      <c r="DD1215" s="420"/>
      <c r="DE1215" s="420"/>
      <c r="DF1215" s="420"/>
      <c r="DG1215" s="420"/>
      <c r="DH1215" s="420"/>
      <c r="DI1215" s="420"/>
      <c r="DJ1215" s="420"/>
      <c r="DK1215" s="420"/>
      <c r="DL1215" s="420"/>
      <c r="DM1215" s="420"/>
      <c r="DN1215" s="420"/>
      <c r="DO1215" s="420"/>
      <c r="DP1215" s="420"/>
      <c r="DQ1215" s="420"/>
      <c r="DR1215" s="420"/>
      <c r="DS1215" s="420"/>
      <c r="DT1215" s="420"/>
      <c r="DU1215" s="420"/>
      <c r="DV1215" s="420"/>
      <c r="DW1215" s="420"/>
      <c r="DX1215" s="420"/>
      <c r="DY1215" s="420"/>
      <c r="DZ1215" s="420"/>
      <c r="EA1215" s="420"/>
      <c r="EB1215" s="420"/>
      <c r="EC1215" s="420"/>
      <c r="ED1215" s="420"/>
      <c r="EE1215" s="420"/>
      <c r="EF1215" s="420"/>
      <c r="EG1215" s="420"/>
      <c r="EH1215" s="420"/>
      <c r="EI1215" s="420"/>
      <c r="EJ1215" s="420"/>
      <c r="EK1215" s="420"/>
      <c r="EL1215" s="420"/>
      <c r="EM1215" s="420"/>
      <c r="EN1215" s="420"/>
      <c r="EO1215" s="420"/>
      <c r="EP1215" s="420"/>
      <c r="EQ1215" s="420"/>
      <c r="ER1215" s="420"/>
      <c r="ES1215" s="420"/>
      <c r="ET1215" s="420"/>
      <c r="EU1215" s="420"/>
      <c r="EV1215" s="420"/>
      <c r="EW1215" s="420"/>
      <c r="EX1215" s="420"/>
      <c r="EY1215" s="420"/>
      <c r="EZ1215" s="420"/>
      <c r="FA1215" s="420"/>
      <c r="FB1215" s="420"/>
      <c r="FC1215" s="420"/>
      <c r="FD1215" s="420"/>
      <c r="FE1215" s="420"/>
      <c r="FF1215" s="420"/>
      <c r="FG1215" s="420"/>
      <c r="FH1215" s="420"/>
      <c r="FI1215" s="420"/>
      <c r="FJ1215" s="420"/>
      <c r="FK1215" s="420"/>
      <c r="FL1215" s="420"/>
      <c r="FM1215" s="420"/>
      <c r="FN1215" s="420"/>
      <c r="FO1215" s="420"/>
      <c r="FP1215" s="420"/>
      <c r="FQ1215" s="420"/>
      <c r="FR1215" s="420"/>
      <c r="FS1215" s="420"/>
      <c r="FT1215" s="420"/>
      <c r="FU1215" s="420"/>
      <c r="FV1215" s="420"/>
      <c r="FW1215" s="420"/>
      <c r="FX1215" s="420"/>
      <c r="FY1215" s="420"/>
      <c r="IV1215" s="420"/>
    </row>
    <row r="1216" spans="1:256" s="421" customFormat="1" ht="19.5" customHeight="1">
      <c r="A1216" s="918"/>
      <c r="B1216" s="919" t="s">
        <v>832</v>
      </c>
      <c r="C1216" s="920"/>
      <c r="D1216" s="921"/>
      <c r="E1216" s="922"/>
      <c r="F1216" s="923"/>
      <c r="G1216" s="420"/>
      <c r="H1216" s="420"/>
      <c r="I1216" s="420"/>
      <c r="J1216" s="420"/>
      <c r="K1216" s="420"/>
      <c r="L1216" s="420"/>
      <c r="M1216" s="420"/>
      <c r="N1216" s="646"/>
      <c r="O1216" s="646"/>
      <c r="P1216" s="420"/>
      <c r="Q1216" s="420"/>
      <c r="R1216" s="420"/>
      <c r="S1216" s="420"/>
      <c r="T1216" s="420"/>
      <c r="U1216" s="420"/>
      <c r="V1216" s="420"/>
      <c r="W1216" s="420"/>
      <c r="X1216" s="420"/>
      <c r="Y1216" s="420"/>
      <c r="Z1216" s="420"/>
      <c r="AA1216" s="420"/>
      <c r="AB1216" s="420"/>
      <c r="AC1216" s="420"/>
      <c r="AD1216" s="420"/>
      <c r="AE1216" s="420"/>
      <c r="AF1216" s="420"/>
      <c r="AG1216" s="420"/>
      <c r="AH1216" s="420"/>
      <c r="AI1216" s="420"/>
      <c r="AJ1216" s="420"/>
      <c r="AK1216" s="420"/>
      <c r="AL1216" s="420"/>
      <c r="AM1216" s="420"/>
      <c r="AN1216" s="420"/>
      <c r="AO1216" s="420"/>
      <c r="AP1216" s="420"/>
      <c r="AQ1216" s="420"/>
      <c r="AR1216" s="420"/>
      <c r="AS1216" s="420"/>
      <c r="AT1216" s="420"/>
      <c r="AU1216" s="420"/>
      <c r="AV1216" s="420"/>
      <c r="AW1216" s="420"/>
      <c r="AX1216" s="420"/>
      <c r="AY1216" s="420"/>
      <c r="AZ1216" s="420"/>
      <c r="BA1216" s="420"/>
      <c r="BB1216" s="420"/>
      <c r="BC1216" s="420"/>
      <c r="BD1216" s="420"/>
      <c r="BE1216" s="420"/>
      <c r="BF1216" s="420"/>
      <c r="BG1216" s="420"/>
      <c r="BH1216" s="420"/>
      <c r="BI1216" s="420"/>
      <c r="BJ1216" s="420"/>
      <c r="BK1216" s="420"/>
      <c r="BL1216" s="420"/>
      <c r="BM1216" s="420"/>
      <c r="BN1216" s="420"/>
      <c r="BO1216" s="420"/>
      <c r="BP1216" s="420"/>
      <c r="BQ1216" s="420"/>
      <c r="BR1216" s="420"/>
      <c r="BS1216" s="420"/>
      <c r="BT1216" s="420"/>
      <c r="BU1216" s="420"/>
      <c r="BV1216" s="420"/>
      <c r="BW1216" s="420"/>
      <c r="BX1216" s="420"/>
      <c r="BY1216" s="420"/>
      <c r="BZ1216" s="420"/>
      <c r="CA1216" s="420"/>
      <c r="CB1216" s="420"/>
      <c r="CC1216" s="420"/>
      <c r="CD1216" s="420"/>
      <c r="CE1216" s="420"/>
      <c r="CF1216" s="420"/>
      <c r="CG1216" s="420"/>
      <c r="CH1216" s="420"/>
      <c r="CI1216" s="420"/>
      <c r="CJ1216" s="420"/>
      <c r="CK1216" s="420"/>
      <c r="CL1216" s="420"/>
      <c r="CM1216" s="420"/>
      <c r="CN1216" s="420"/>
      <c r="CO1216" s="420"/>
      <c r="CP1216" s="420"/>
      <c r="CQ1216" s="420"/>
      <c r="CR1216" s="420"/>
      <c r="CS1216" s="420"/>
      <c r="CT1216" s="420"/>
      <c r="CU1216" s="420"/>
      <c r="CV1216" s="420"/>
      <c r="CW1216" s="420"/>
      <c r="CX1216" s="420"/>
      <c r="CY1216" s="420"/>
      <c r="CZ1216" s="420"/>
      <c r="DA1216" s="420"/>
      <c r="DB1216" s="420"/>
      <c r="DC1216" s="420"/>
      <c r="DD1216" s="420"/>
      <c r="DE1216" s="420"/>
      <c r="DF1216" s="420"/>
      <c r="DG1216" s="420"/>
      <c r="DH1216" s="420"/>
      <c r="DI1216" s="420"/>
      <c r="DJ1216" s="420"/>
      <c r="DK1216" s="420"/>
      <c r="DL1216" s="420"/>
      <c r="DM1216" s="420"/>
      <c r="DN1216" s="420"/>
      <c r="DO1216" s="420"/>
      <c r="DP1216" s="420"/>
      <c r="DQ1216" s="420"/>
      <c r="DR1216" s="420"/>
      <c r="DS1216" s="420"/>
      <c r="DT1216" s="420"/>
      <c r="DU1216" s="420"/>
      <c r="DV1216" s="420"/>
      <c r="DW1216" s="420"/>
      <c r="DX1216" s="420"/>
      <c r="DY1216" s="420"/>
      <c r="DZ1216" s="420"/>
      <c r="EA1216" s="420"/>
      <c r="EB1216" s="420"/>
      <c r="EC1216" s="420"/>
      <c r="ED1216" s="420"/>
      <c r="EE1216" s="420"/>
      <c r="EF1216" s="420"/>
      <c r="EG1216" s="420"/>
      <c r="EH1216" s="420"/>
      <c r="EI1216" s="420"/>
      <c r="EJ1216" s="420"/>
      <c r="EK1216" s="420"/>
      <c r="EL1216" s="420"/>
      <c r="EM1216" s="420"/>
      <c r="EN1216" s="420"/>
      <c r="EO1216" s="420"/>
      <c r="EP1216" s="420"/>
      <c r="EQ1216" s="420"/>
      <c r="ER1216" s="420"/>
      <c r="ES1216" s="420"/>
      <c r="ET1216" s="420"/>
      <c r="EU1216" s="420"/>
      <c r="EV1216" s="420"/>
      <c r="EW1216" s="420"/>
      <c r="EX1216" s="420"/>
      <c r="EY1216" s="420"/>
      <c r="EZ1216" s="420"/>
      <c r="FA1216" s="420"/>
      <c r="FB1216" s="420"/>
      <c r="FC1216" s="420"/>
      <c r="FD1216" s="420"/>
      <c r="FE1216" s="420"/>
      <c r="FF1216" s="420"/>
      <c r="FG1216" s="420"/>
      <c r="FH1216" s="420"/>
      <c r="FI1216" s="420"/>
      <c r="FJ1216" s="420"/>
      <c r="FK1216" s="420"/>
      <c r="FL1216" s="420"/>
      <c r="FM1216" s="420"/>
      <c r="FN1216" s="420"/>
      <c r="FO1216" s="420"/>
      <c r="FP1216" s="420"/>
      <c r="FQ1216" s="420"/>
      <c r="FR1216" s="420"/>
      <c r="FS1216" s="420"/>
      <c r="FT1216" s="420"/>
      <c r="FU1216" s="420"/>
      <c r="FV1216" s="420"/>
      <c r="FW1216" s="420"/>
      <c r="FX1216" s="420"/>
      <c r="FY1216" s="420"/>
      <c r="IV1216" s="420"/>
    </row>
    <row r="1217" spans="1:256" s="421" customFormat="1" ht="19.5" customHeight="1">
      <c r="A1217" s="918" t="s">
        <v>833</v>
      </c>
      <c r="B1217" s="919" t="s">
        <v>834</v>
      </c>
      <c r="C1217" s="920" t="s">
        <v>350</v>
      </c>
      <c r="D1217" s="921">
        <v>10</v>
      </c>
      <c r="E1217" s="922"/>
      <c r="F1217" s="380">
        <f aca="true" t="shared" si="37" ref="F1217:F1227">D1217*E1217</f>
        <v>0</v>
      </c>
      <c r="G1217" s="420"/>
      <c r="H1217" s="420"/>
      <c r="I1217" s="420"/>
      <c r="J1217" s="420"/>
      <c r="K1217" s="420"/>
      <c r="L1217" s="420"/>
      <c r="M1217" s="420"/>
      <c r="N1217" s="640">
        <f aca="true" t="shared" si="38" ref="N1217:N1227">E1217*1.2</f>
        <v>0</v>
      </c>
      <c r="O1217" s="640">
        <f aca="true" t="shared" si="39" ref="O1217:O1227">N1217*D1217</f>
        <v>0</v>
      </c>
      <c r="P1217" s="420"/>
      <c r="Q1217" s="420"/>
      <c r="R1217" s="420"/>
      <c r="S1217" s="420"/>
      <c r="T1217" s="420"/>
      <c r="U1217" s="420"/>
      <c r="V1217" s="420"/>
      <c r="W1217" s="420"/>
      <c r="X1217" s="420"/>
      <c r="Y1217" s="420"/>
      <c r="Z1217" s="420"/>
      <c r="AA1217" s="420"/>
      <c r="AB1217" s="420"/>
      <c r="AC1217" s="420"/>
      <c r="AD1217" s="420"/>
      <c r="AE1217" s="420"/>
      <c r="AF1217" s="420"/>
      <c r="AG1217" s="420"/>
      <c r="AH1217" s="420"/>
      <c r="AI1217" s="420"/>
      <c r="AJ1217" s="420"/>
      <c r="AK1217" s="420"/>
      <c r="AL1217" s="420"/>
      <c r="AM1217" s="420"/>
      <c r="AN1217" s="420"/>
      <c r="AO1217" s="420"/>
      <c r="AP1217" s="420"/>
      <c r="AQ1217" s="420"/>
      <c r="AR1217" s="420"/>
      <c r="AS1217" s="420"/>
      <c r="AT1217" s="420"/>
      <c r="AU1217" s="420"/>
      <c r="AV1217" s="420"/>
      <c r="AW1217" s="420"/>
      <c r="AX1217" s="420"/>
      <c r="AY1217" s="420"/>
      <c r="AZ1217" s="420"/>
      <c r="BA1217" s="420"/>
      <c r="BB1217" s="420"/>
      <c r="BC1217" s="420"/>
      <c r="BD1217" s="420"/>
      <c r="BE1217" s="420"/>
      <c r="BF1217" s="420"/>
      <c r="BG1217" s="420"/>
      <c r="BH1217" s="420"/>
      <c r="BI1217" s="420"/>
      <c r="BJ1217" s="420"/>
      <c r="BK1217" s="420"/>
      <c r="BL1217" s="420"/>
      <c r="BM1217" s="420"/>
      <c r="BN1217" s="420"/>
      <c r="BO1217" s="420"/>
      <c r="BP1217" s="420"/>
      <c r="BQ1217" s="420"/>
      <c r="BR1217" s="420"/>
      <c r="BS1217" s="420"/>
      <c r="BT1217" s="420"/>
      <c r="BU1217" s="420"/>
      <c r="BV1217" s="420"/>
      <c r="BW1217" s="420"/>
      <c r="BX1217" s="420"/>
      <c r="BY1217" s="420"/>
      <c r="BZ1217" s="420"/>
      <c r="CA1217" s="420"/>
      <c r="CB1217" s="420"/>
      <c r="CC1217" s="420"/>
      <c r="CD1217" s="420"/>
      <c r="CE1217" s="420"/>
      <c r="CF1217" s="420"/>
      <c r="CG1217" s="420"/>
      <c r="CH1217" s="420"/>
      <c r="CI1217" s="420"/>
      <c r="CJ1217" s="420"/>
      <c r="CK1217" s="420"/>
      <c r="CL1217" s="420"/>
      <c r="CM1217" s="420"/>
      <c r="CN1217" s="420"/>
      <c r="CO1217" s="420"/>
      <c r="CP1217" s="420"/>
      <c r="CQ1217" s="420"/>
      <c r="CR1217" s="420"/>
      <c r="CS1217" s="420"/>
      <c r="CT1217" s="420"/>
      <c r="CU1217" s="420"/>
      <c r="CV1217" s="420"/>
      <c r="CW1217" s="420"/>
      <c r="CX1217" s="420"/>
      <c r="CY1217" s="420"/>
      <c r="CZ1217" s="420"/>
      <c r="DA1217" s="420"/>
      <c r="DB1217" s="420"/>
      <c r="DC1217" s="420"/>
      <c r="DD1217" s="420"/>
      <c r="DE1217" s="420"/>
      <c r="DF1217" s="420"/>
      <c r="DG1217" s="420"/>
      <c r="DH1217" s="420"/>
      <c r="DI1217" s="420"/>
      <c r="DJ1217" s="420"/>
      <c r="DK1217" s="420"/>
      <c r="DL1217" s="420"/>
      <c r="DM1217" s="420"/>
      <c r="DN1217" s="420"/>
      <c r="DO1217" s="420"/>
      <c r="DP1217" s="420"/>
      <c r="DQ1217" s="420"/>
      <c r="DR1217" s="420"/>
      <c r="DS1217" s="420"/>
      <c r="DT1217" s="420"/>
      <c r="DU1217" s="420"/>
      <c r="DV1217" s="420"/>
      <c r="DW1217" s="420"/>
      <c r="DX1217" s="420"/>
      <c r="DY1217" s="420"/>
      <c r="DZ1217" s="420"/>
      <c r="EA1217" s="420"/>
      <c r="EB1217" s="420"/>
      <c r="EC1217" s="420"/>
      <c r="ED1217" s="420"/>
      <c r="EE1217" s="420"/>
      <c r="EF1217" s="420"/>
      <c r="EG1217" s="420"/>
      <c r="EH1217" s="420"/>
      <c r="EI1217" s="420"/>
      <c r="EJ1217" s="420"/>
      <c r="EK1217" s="420"/>
      <c r="EL1217" s="420"/>
      <c r="EM1217" s="420"/>
      <c r="EN1217" s="420"/>
      <c r="EO1217" s="420"/>
      <c r="EP1217" s="420"/>
      <c r="EQ1217" s="420"/>
      <c r="ER1217" s="420"/>
      <c r="ES1217" s="420"/>
      <c r="ET1217" s="420"/>
      <c r="EU1217" s="420"/>
      <c r="EV1217" s="420"/>
      <c r="EW1217" s="420"/>
      <c r="EX1217" s="420"/>
      <c r="EY1217" s="420"/>
      <c r="EZ1217" s="420"/>
      <c r="FA1217" s="420"/>
      <c r="FB1217" s="420"/>
      <c r="FC1217" s="420"/>
      <c r="FD1217" s="420"/>
      <c r="FE1217" s="420"/>
      <c r="FF1217" s="420"/>
      <c r="FG1217" s="420"/>
      <c r="FH1217" s="420"/>
      <c r="FI1217" s="420"/>
      <c r="FJ1217" s="420"/>
      <c r="FK1217" s="420"/>
      <c r="FL1217" s="420"/>
      <c r="FM1217" s="420"/>
      <c r="FN1217" s="420"/>
      <c r="FO1217" s="420"/>
      <c r="FP1217" s="420"/>
      <c r="FQ1217" s="420"/>
      <c r="FR1217" s="420"/>
      <c r="FS1217" s="420"/>
      <c r="FT1217" s="420"/>
      <c r="FU1217" s="420"/>
      <c r="FV1217" s="420"/>
      <c r="FW1217" s="420"/>
      <c r="FX1217" s="420"/>
      <c r="FY1217" s="420"/>
      <c r="IV1217" s="420"/>
    </row>
    <row r="1218" spans="1:256" s="421" customFormat="1" ht="32.25" customHeight="1">
      <c r="A1218" s="918" t="s">
        <v>835</v>
      </c>
      <c r="B1218" s="919" t="s">
        <v>836</v>
      </c>
      <c r="C1218" s="920" t="s">
        <v>350</v>
      </c>
      <c r="D1218" s="921">
        <v>10</v>
      </c>
      <c r="E1218" s="922"/>
      <c r="F1218" s="380">
        <f t="shared" si="37"/>
        <v>0</v>
      </c>
      <c r="G1218" s="420"/>
      <c r="H1218" s="420"/>
      <c r="I1218" s="420"/>
      <c r="J1218" s="420"/>
      <c r="K1218" s="420"/>
      <c r="L1218" s="420"/>
      <c r="M1218" s="420"/>
      <c r="N1218" s="640">
        <f t="shared" si="38"/>
        <v>0</v>
      </c>
      <c r="O1218" s="640">
        <f t="shared" si="39"/>
        <v>0</v>
      </c>
      <c r="P1218" s="420"/>
      <c r="Q1218" s="420"/>
      <c r="R1218" s="420"/>
      <c r="S1218" s="420"/>
      <c r="T1218" s="420"/>
      <c r="U1218" s="420"/>
      <c r="V1218" s="420"/>
      <c r="W1218" s="420"/>
      <c r="X1218" s="420"/>
      <c r="Y1218" s="420"/>
      <c r="Z1218" s="420"/>
      <c r="AA1218" s="420"/>
      <c r="AB1218" s="420"/>
      <c r="AC1218" s="420"/>
      <c r="AD1218" s="420"/>
      <c r="AE1218" s="420"/>
      <c r="AF1218" s="420"/>
      <c r="AG1218" s="420"/>
      <c r="AH1218" s="420"/>
      <c r="AI1218" s="420"/>
      <c r="AJ1218" s="420"/>
      <c r="AK1218" s="420"/>
      <c r="AL1218" s="420"/>
      <c r="AM1218" s="420"/>
      <c r="AN1218" s="420"/>
      <c r="AO1218" s="420"/>
      <c r="AP1218" s="420"/>
      <c r="AQ1218" s="420"/>
      <c r="AR1218" s="420"/>
      <c r="AS1218" s="420"/>
      <c r="AT1218" s="420"/>
      <c r="AU1218" s="420"/>
      <c r="AV1218" s="420"/>
      <c r="AW1218" s="420"/>
      <c r="AX1218" s="420"/>
      <c r="AY1218" s="420"/>
      <c r="AZ1218" s="420"/>
      <c r="BA1218" s="420"/>
      <c r="BB1218" s="420"/>
      <c r="BC1218" s="420"/>
      <c r="BD1218" s="420"/>
      <c r="BE1218" s="420"/>
      <c r="BF1218" s="420"/>
      <c r="BG1218" s="420"/>
      <c r="BH1218" s="420"/>
      <c r="BI1218" s="420"/>
      <c r="BJ1218" s="420"/>
      <c r="BK1218" s="420"/>
      <c r="BL1218" s="420"/>
      <c r="BM1218" s="420"/>
      <c r="BN1218" s="420"/>
      <c r="BO1218" s="420"/>
      <c r="BP1218" s="420"/>
      <c r="BQ1218" s="420"/>
      <c r="BR1218" s="420"/>
      <c r="BS1218" s="420"/>
      <c r="BT1218" s="420"/>
      <c r="BU1218" s="420"/>
      <c r="BV1218" s="420"/>
      <c r="BW1218" s="420"/>
      <c r="BX1218" s="420"/>
      <c r="BY1218" s="420"/>
      <c r="BZ1218" s="420"/>
      <c r="CA1218" s="420"/>
      <c r="CB1218" s="420"/>
      <c r="CC1218" s="420"/>
      <c r="CD1218" s="420"/>
      <c r="CE1218" s="420"/>
      <c r="CF1218" s="420"/>
      <c r="CG1218" s="420"/>
      <c r="CH1218" s="420"/>
      <c r="CI1218" s="420"/>
      <c r="CJ1218" s="420"/>
      <c r="CK1218" s="420"/>
      <c r="CL1218" s="420"/>
      <c r="CM1218" s="420"/>
      <c r="CN1218" s="420"/>
      <c r="CO1218" s="420"/>
      <c r="CP1218" s="420"/>
      <c r="CQ1218" s="420"/>
      <c r="CR1218" s="420"/>
      <c r="CS1218" s="420"/>
      <c r="CT1218" s="420"/>
      <c r="CU1218" s="420"/>
      <c r="CV1218" s="420"/>
      <c r="CW1218" s="420"/>
      <c r="CX1218" s="420"/>
      <c r="CY1218" s="420"/>
      <c r="CZ1218" s="420"/>
      <c r="DA1218" s="420"/>
      <c r="DB1218" s="420"/>
      <c r="DC1218" s="420"/>
      <c r="DD1218" s="420"/>
      <c r="DE1218" s="420"/>
      <c r="DF1218" s="420"/>
      <c r="DG1218" s="420"/>
      <c r="DH1218" s="420"/>
      <c r="DI1218" s="420"/>
      <c r="DJ1218" s="420"/>
      <c r="DK1218" s="420"/>
      <c r="DL1218" s="420"/>
      <c r="DM1218" s="420"/>
      <c r="DN1218" s="420"/>
      <c r="DO1218" s="420"/>
      <c r="DP1218" s="420"/>
      <c r="DQ1218" s="420"/>
      <c r="DR1218" s="420"/>
      <c r="DS1218" s="420"/>
      <c r="DT1218" s="420"/>
      <c r="DU1218" s="420"/>
      <c r="DV1218" s="420"/>
      <c r="DW1218" s="420"/>
      <c r="DX1218" s="420"/>
      <c r="DY1218" s="420"/>
      <c r="DZ1218" s="420"/>
      <c r="EA1218" s="420"/>
      <c r="EB1218" s="420"/>
      <c r="EC1218" s="420"/>
      <c r="ED1218" s="420"/>
      <c r="EE1218" s="420"/>
      <c r="EF1218" s="420"/>
      <c r="EG1218" s="420"/>
      <c r="EH1218" s="420"/>
      <c r="EI1218" s="420"/>
      <c r="EJ1218" s="420"/>
      <c r="EK1218" s="420"/>
      <c r="EL1218" s="420"/>
      <c r="EM1218" s="420"/>
      <c r="EN1218" s="420"/>
      <c r="EO1218" s="420"/>
      <c r="EP1218" s="420"/>
      <c r="EQ1218" s="420"/>
      <c r="ER1218" s="420"/>
      <c r="ES1218" s="420"/>
      <c r="ET1218" s="420"/>
      <c r="EU1218" s="420"/>
      <c r="EV1218" s="420"/>
      <c r="EW1218" s="420"/>
      <c r="EX1218" s="420"/>
      <c r="EY1218" s="420"/>
      <c r="EZ1218" s="420"/>
      <c r="FA1218" s="420"/>
      <c r="FB1218" s="420"/>
      <c r="FC1218" s="420"/>
      <c r="FD1218" s="420"/>
      <c r="FE1218" s="420"/>
      <c r="FF1218" s="420"/>
      <c r="FG1218" s="420"/>
      <c r="FH1218" s="420"/>
      <c r="FI1218" s="420"/>
      <c r="FJ1218" s="420"/>
      <c r="FK1218" s="420"/>
      <c r="FL1218" s="420"/>
      <c r="FM1218" s="420"/>
      <c r="FN1218" s="420"/>
      <c r="FO1218" s="420"/>
      <c r="FP1218" s="420"/>
      <c r="FQ1218" s="420"/>
      <c r="FR1218" s="420"/>
      <c r="FS1218" s="420"/>
      <c r="FT1218" s="420"/>
      <c r="FU1218" s="420"/>
      <c r="FV1218" s="420"/>
      <c r="FW1218" s="420"/>
      <c r="FX1218" s="420"/>
      <c r="FY1218" s="420"/>
      <c r="IV1218" s="420"/>
    </row>
    <row r="1219" spans="1:256" s="421" customFormat="1" ht="32.25" customHeight="1">
      <c r="A1219" s="918" t="s">
        <v>837</v>
      </c>
      <c r="B1219" s="919" t="s">
        <v>838</v>
      </c>
      <c r="C1219" s="920" t="s">
        <v>350</v>
      </c>
      <c r="D1219" s="921">
        <v>10</v>
      </c>
      <c r="E1219" s="922"/>
      <c r="F1219" s="380">
        <f t="shared" si="37"/>
        <v>0</v>
      </c>
      <c r="G1219" s="420"/>
      <c r="H1219" s="420"/>
      <c r="I1219" s="420"/>
      <c r="J1219" s="420"/>
      <c r="K1219" s="420"/>
      <c r="L1219" s="420"/>
      <c r="M1219" s="420"/>
      <c r="N1219" s="640">
        <f t="shared" si="38"/>
        <v>0</v>
      </c>
      <c r="O1219" s="640">
        <f t="shared" si="39"/>
        <v>0</v>
      </c>
      <c r="P1219" s="420"/>
      <c r="Q1219" s="420"/>
      <c r="R1219" s="420"/>
      <c r="S1219" s="420"/>
      <c r="T1219" s="420"/>
      <c r="U1219" s="420"/>
      <c r="V1219" s="420"/>
      <c r="W1219" s="420"/>
      <c r="X1219" s="420"/>
      <c r="Y1219" s="420"/>
      <c r="Z1219" s="420"/>
      <c r="AA1219" s="420"/>
      <c r="AB1219" s="420"/>
      <c r="AC1219" s="420"/>
      <c r="AD1219" s="420"/>
      <c r="AE1219" s="420"/>
      <c r="AF1219" s="420"/>
      <c r="AG1219" s="420"/>
      <c r="AH1219" s="420"/>
      <c r="AI1219" s="420"/>
      <c r="AJ1219" s="420"/>
      <c r="AK1219" s="420"/>
      <c r="AL1219" s="420"/>
      <c r="AM1219" s="420"/>
      <c r="AN1219" s="420"/>
      <c r="AO1219" s="420"/>
      <c r="AP1219" s="420"/>
      <c r="AQ1219" s="420"/>
      <c r="AR1219" s="420"/>
      <c r="AS1219" s="420"/>
      <c r="AT1219" s="420"/>
      <c r="AU1219" s="420"/>
      <c r="AV1219" s="420"/>
      <c r="AW1219" s="420"/>
      <c r="AX1219" s="420"/>
      <c r="AY1219" s="420"/>
      <c r="AZ1219" s="420"/>
      <c r="BA1219" s="420"/>
      <c r="BB1219" s="420"/>
      <c r="BC1219" s="420"/>
      <c r="BD1219" s="420"/>
      <c r="BE1219" s="420"/>
      <c r="BF1219" s="420"/>
      <c r="BG1219" s="420"/>
      <c r="BH1219" s="420"/>
      <c r="BI1219" s="420"/>
      <c r="BJ1219" s="420"/>
      <c r="BK1219" s="420"/>
      <c r="BL1219" s="420"/>
      <c r="BM1219" s="420"/>
      <c r="BN1219" s="420"/>
      <c r="BO1219" s="420"/>
      <c r="BP1219" s="420"/>
      <c r="BQ1219" s="420"/>
      <c r="BR1219" s="420"/>
      <c r="BS1219" s="420"/>
      <c r="BT1219" s="420"/>
      <c r="BU1219" s="420"/>
      <c r="BV1219" s="420"/>
      <c r="BW1219" s="420"/>
      <c r="BX1219" s="420"/>
      <c r="BY1219" s="420"/>
      <c r="BZ1219" s="420"/>
      <c r="CA1219" s="420"/>
      <c r="CB1219" s="420"/>
      <c r="CC1219" s="420"/>
      <c r="CD1219" s="420"/>
      <c r="CE1219" s="420"/>
      <c r="CF1219" s="420"/>
      <c r="CG1219" s="420"/>
      <c r="CH1219" s="420"/>
      <c r="CI1219" s="420"/>
      <c r="CJ1219" s="420"/>
      <c r="CK1219" s="420"/>
      <c r="CL1219" s="420"/>
      <c r="CM1219" s="420"/>
      <c r="CN1219" s="420"/>
      <c r="CO1219" s="420"/>
      <c r="CP1219" s="420"/>
      <c r="CQ1219" s="420"/>
      <c r="CR1219" s="420"/>
      <c r="CS1219" s="420"/>
      <c r="CT1219" s="420"/>
      <c r="CU1219" s="420"/>
      <c r="CV1219" s="420"/>
      <c r="CW1219" s="420"/>
      <c r="CX1219" s="420"/>
      <c r="CY1219" s="420"/>
      <c r="CZ1219" s="420"/>
      <c r="DA1219" s="420"/>
      <c r="DB1219" s="420"/>
      <c r="DC1219" s="420"/>
      <c r="DD1219" s="420"/>
      <c r="DE1219" s="420"/>
      <c r="DF1219" s="420"/>
      <c r="DG1219" s="420"/>
      <c r="DH1219" s="420"/>
      <c r="DI1219" s="420"/>
      <c r="DJ1219" s="420"/>
      <c r="DK1219" s="420"/>
      <c r="DL1219" s="420"/>
      <c r="DM1219" s="420"/>
      <c r="DN1219" s="420"/>
      <c r="DO1219" s="420"/>
      <c r="DP1219" s="420"/>
      <c r="DQ1219" s="420"/>
      <c r="DR1219" s="420"/>
      <c r="DS1219" s="420"/>
      <c r="DT1219" s="420"/>
      <c r="DU1219" s="420"/>
      <c r="DV1219" s="420"/>
      <c r="DW1219" s="420"/>
      <c r="DX1219" s="420"/>
      <c r="DY1219" s="420"/>
      <c r="DZ1219" s="420"/>
      <c r="EA1219" s="420"/>
      <c r="EB1219" s="420"/>
      <c r="EC1219" s="420"/>
      <c r="ED1219" s="420"/>
      <c r="EE1219" s="420"/>
      <c r="EF1219" s="420"/>
      <c r="EG1219" s="420"/>
      <c r="EH1219" s="420"/>
      <c r="EI1219" s="420"/>
      <c r="EJ1219" s="420"/>
      <c r="EK1219" s="420"/>
      <c r="EL1219" s="420"/>
      <c r="EM1219" s="420"/>
      <c r="EN1219" s="420"/>
      <c r="EO1219" s="420"/>
      <c r="EP1219" s="420"/>
      <c r="EQ1219" s="420"/>
      <c r="ER1219" s="420"/>
      <c r="ES1219" s="420"/>
      <c r="ET1219" s="420"/>
      <c r="EU1219" s="420"/>
      <c r="EV1219" s="420"/>
      <c r="EW1219" s="420"/>
      <c r="EX1219" s="420"/>
      <c r="EY1219" s="420"/>
      <c r="EZ1219" s="420"/>
      <c r="FA1219" s="420"/>
      <c r="FB1219" s="420"/>
      <c r="FC1219" s="420"/>
      <c r="FD1219" s="420"/>
      <c r="FE1219" s="420"/>
      <c r="FF1219" s="420"/>
      <c r="FG1219" s="420"/>
      <c r="FH1219" s="420"/>
      <c r="FI1219" s="420"/>
      <c r="FJ1219" s="420"/>
      <c r="FK1219" s="420"/>
      <c r="FL1219" s="420"/>
      <c r="FM1219" s="420"/>
      <c r="FN1219" s="420"/>
      <c r="FO1219" s="420"/>
      <c r="FP1219" s="420"/>
      <c r="FQ1219" s="420"/>
      <c r="FR1219" s="420"/>
      <c r="FS1219" s="420"/>
      <c r="FT1219" s="420"/>
      <c r="FU1219" s="420"/>
      <c r="FV1219" s="420"/>
      <c r="FW1219" s="420"/>
      <c r="FX1219" s="420"/>
      <c r="FY1219" s="420"/>
      <c r="IV1219" s="420"/>
    </row>
    <row r="1220" spans="1:181" s="421" customFormat="1" ht="32.25" customHeight="1">
      <c r="A1220" s="918" t="s">
        <v>839</v>
      </c>
      <c r="B1220" s="919" t="s">
        <v>840</v>
      </c>
      <c r="C1220" s="920" t="s">
        <v>350</v>
      </c>
      <c r="D1220" s="921">
        <v>10</v>
      </c>
      <c r="E1220" s="922"/>
      <c r="F1220" s="380">
        <f t="shared" si="37"/>
        <v>0</v>
      </c>
      <c r="G1220" s="420"/>
      <c r="H1220" s="420"/>
      <c r="I1220" s="420"/>
      <c r="J1220" s="420"/>
      <c r="K1220" s="420"/>
      <c r="L1220" s="420"/>
      <c r="M1220" s="420"/>
      <c r="N1220" s="640">
        <f t="shared" si="38"/>
        <v>0</v>
      </c>
      <c r="O1220" s="640">
        <f t="shared" si="39"/>
        <v>0</v>
      </c>
      <c r="P1220" s="420"/>
      <c r="Q1220" s="420"/>
      <c r="R1220" s="420"/>
      <c r="S1220" s="420"/>
      <c r="T1220" s="420"/>
      <c r="U1220" s="420"/>
      <c r="V1220" s="420"/>
      <c r="W1220" s="420"/>
      <c r="X1220" s="420"/>
      <c r="Y1220" s="420"/>
      <c r="Z1220" s="420"/>
      <c r="AA1220" s="420"/>
      <c r="AB1220" s="420"/>
      <c r="AC1220" s="420"/>
      <c r="AD1220" s="420"/>
      <c r="AE1220" s="420"/>
      <c r="AF1220" s="420"/>
      <c r="AG1220" s="420"/>
      <c r="AH1220" s="420"/>
      <c r="AI1220" s="420"/>
      <c r="AJ1220" s="420"/>
      <c r="AK1220" s="420"/>
      <c r="AL1220" s="420"/>
      <c r="AM1220" s="420"/>
      <c r="AN1220" s="420"/>
      <c r="AO1220" s="420"/>
      <c r="AP1220" s="420"/>
      <c r="AQ1220" s="420"/>
      <c r="AR1220" s="420"/>
      <c r="AS1220" s="420"/>
      <c r="AT1220" s="420"/>
      <c r="AU1220" s="420"/>
      <c r="AV1220" s="420"/>
      <c r="AW1220" s="420"/>
      <c r="AX1220" s="420"/>
      <c r="AY1220" s="420"/>
      <c r="AZ1220" s="420"/>
      <c r="BA1220" s="420"/>
      <c r="BB1220" s="420"/>
      <c r="BC1220" s="420"/>
      <c r="BD1220" s="420"/>
      <c r="BE1220" s="420"/>
      <c r="BF1220" s="420"/>
      <c r="BG1220" s="420"/>
      <c r="BH1220" s="420"/>
      <c r="BI1220" s="420"/>
      <c r="BJ1220" s="420"/>
      <c r="BK1220" s="420"/>
      <c r="BL1220" s="420"/>
      <c r="BM1220" s="420"/>
      <c r="BN1220" s="420"/>
      <c r="BO1220" s="420"/>
      <c r="BP1220" s="420"/>
      <c r="BQ1220" s="420"/>
      <c r="BR1220" s="420"/>
      <c r="BS1220" s="420"/>
      <c r="BT1220" s="420"/>
      <c r="BU1220" s="420"/>
      <c r="BV1220" s="420"/>
      <c r="BW1220" s="420"/>
      <c r="BX1220" s="420"/>
      <c r="BY1220" s="420"/>
      <c r="BZ1220" s="420"/>
      <c r="CA1220" s="420"/>
      <c r="CB1220" s="420"/>
      <c r="CC1220" s="420"/>
      <c r="CD1220" s="420"/>
      <c r="CE1220" s="420"/>
      <c r="CF1220" s="420"/>
      <c r="CG1220" s="420"/>
      <c r="CH1220" s="420"/>
      <c r="CI1220" s="420"/>
      <c r="CJ1220" s="420"/>
      <c r="CK1220" s="420"/>
      <c r="CL1220" s="420"/>
      <c r="CM1220" s="420"/>
      <c r="CN1220" s="420"/>
      <c r="CO1220" s="420"/>
      <c r="CP1220" s="420"/>
      <c r="CQ1220" s="420"/>
      <c r="CR1220" s="420"/>
      <c r="CS1220" s="420"/>
      <c r="CT1220" s="420"/>
      <c r="CU1220" s="420"/>
      <c r="CV1220" s="420"/>
      <c r="CW1220" s="420"/>
      <c r="CX1220" s="420"/>
      <c r="CY1220" s="420"/>
      <c r="CZ1220" s="420"/>
      <c r="DA1220" s="420"/>
      <c r="DB1220" s="420"/>
      <c r="DC1220" s="420"/>
      <c r="DD1220" s="420"/>
      <c r="DE1220" s="420"/>
      <c r="DF1220" s="420"/>
      <c r="DG1220" s="420"/>
      <c r="DH1220" s="420"/>
      <c r="DI1220" s="420"/>
      <c r="DJ1220" s="420"/>
      <c r="DK1220" s="420"/>
      <c r="DL1220" s="420"/>
      <c r="DM1220" s="420"/>
      <c r="DN1220" s="420"/>
      <c r="DO1220" s="420"/>
      <c r="DP1220" s="420"/>
      <c r="DQ1220" s="420"/>
      <c r="DR1220" s="420"/>
      <c r="DS1220" s="420"/>
      <c r="DT1220" s="420"/>
      <c r="DU1220" s="420"/>
      <c r="DV1220" s="420"/>
      <c r="DW1220" s="420"/>
      <c r="DX1220" s="420"/>
      <c r="DY1220" s="420"/>
      <c r="DZ1220" s="420"/>
      <c r="EA1220" s="420"/>
      <c r="EB1220" s="420"/>
      <c r="EC1220" s="420"/>
      <c r="ED1220" s="420"/>
      <c r="EE1220" s="420"/>
      <c r="EF1220" s="420"/>
      <c r="EG1220" s="420"/>
      <c r="EH1220" s="420"/>
      <c r="EI1220" s="420"/>
      <c r="EJ1220" s="420"/>
      <c r="EK1220" s="420"/>
      <c r="EL1220" s="420"/>
      <c r="EM1220" s="420"/>
      <c r="EN1220" s="420"/>
      <c r="EO1220" s="420"/>
      <c r="EP1220" s="420"/>
      <c r="EQ1220" s="420"/>
      <c r="ER1220" s="420"/>
      <c r="ES1220" s="420"/>
      <c r="ET1220" s="420"/>
      <c r="EU1220" s="420"/>
      <c r="EV1220" s="420"/>
      <c r="EW1220" s="420"/>
      <c r="EX1220" s="420"/>
      <c r="EY1220" s="420"/>
      <c r="EZ1220" s="420"/>
      <c r="FA1220" s="420"/>
      <c r="FB1220" s="420"/>
      <c r="FC1220" s="420"/>
      <c r="FD1220" s="420"/>
      <c r="FE1220" s="420"/>
      <c r="FF1220" s="420"/>
      <c r="FG1220" s="420"/>
      <c r="FH1220" s="420"/>
      <c r="FI1220" s="420"/>
      <c r="FJ1220" s="420"/>
      <c r="FK1220" s="420"/>
      <c r="FL1220" s="420"/>
      <c r="FM1220" s="420"/>
      <c r="FN1220" s="420"/>
      <c r="FO1220" s="420"/>
      <c r="FP1220" s="420"/>
      <c r="FQ1220" s="420"/>
      <c r="FR1220" s="420"/>
      <c r="FS1220" s="420"/>
      <c r="FT1220" s="420"/>
      <c r="FU1220" s="420"/>
      <c r="FV1220" s="420"/>
      <c r="FW1220" s="420"/>
      <c r="FX1220" s="420"/>
      <c r="FY1220" s="420"/>
    </row>
    <row r="1221" spans="1:181" s="421" customFormat="1" ht="19.5" customHeight="1">
      <c r="A1221" s="918" t="s">
        <v>841</v>
      </c>
      <c r="B1221" s="919" t="s">
        <v>842</v>
      </c>
      <c r="C1221" s="920" t="s">
        <v>350</v>
      </c>
      <c r="D1221" s="921">
        <v>10</v>
      </c>
      <c r="E1221" s="922"/>
      <c r="F1221" s="380">
        <f t="shared" si="37"/>
        <v>0</v>
      </c>
      <c r="G1221" s="420"/>
      <c r="H1221" s="420"/>
      <c r="I1221" s="420"/>
      <c r="J1221" s="420"/>
      <c r="K1221" s="420"/>
      <c r="L1221" s="420"/>
      <c r="M1221" s="420"/>
      <c r="N1221" s="640">
        <f t="shared" si="38"/>
        <v>0</v>
      </c>
      <c r="O1221" s="640">
        <f t="shared" si="39"/>
        <v>0</v>
      </c>
      <c r="P1221" s="420"/>
      <c r="Q1221" s="420"/>
      <c r="R1221" s="420"/>
      <c r="S1221" s="420"/>
      <c r="T1221" s="420"/>
      <c r="U1221" s="420"/>
      <c r="V1221" s="420"/>
      <c r="W1221" s="420"/>
      <c r="X1221" s="420"/>
      <c r="Y1221" s="420"/>
      <c r="Z1221" s="420"/>
      <c r="AA1221" s="420"/>
      <c r="AB1221" s="420"/>
      <c r="AC1221" s="420"/>
      <c r="AD1221" s="420"/>
      <c r="AE1221" s="420"/>
      <c r="AF1221" s="420"/>
      <c r="AG1221" s="420"/>
      <c r="AH1221" s="420"/>
      <c r="AI1221" s="420"/>
      <c r="AJ1221" s="420"/>
      <c r="AK1221" s="420"/>
      <c r="AL1221" s="420"/>
      <c r="AM1221" s="420"/>
      <c r="AN1221" s="420"/>
      <c r="AO1221" s="420"/>
      <c r="AP1221" s="420"/>
      <c r="AQ1221" s="420"/>
      <c r="AR1221" s="420"/>
      <c r="AS1221" s="420"/>
      <c r="AT1221" s="420"/>
      <c r="AU1221" s="420"/>
      <c r="AV1221" s="420"/>
      <c r="AW1221" s="420"/>
      <c r="AX1221" s="420"/>
      <c r="AY1221" s="420"/>
      <c r="AZ1221" s="420"/>
      <c r="BA1221" s="420"/>
      <c r="BB1221" s="420"/>
      <c r="BC1221" s="420"/>
      <c r="BD1221" s="420"/>
      <c r="BE1221" s="420"/>
      <c r="BF1221" s="420"/>
      <c r="BG1221" s="420"/>
      <c r="BH1221" s="420"/>
      <c r="BI1221" s="420"/>
      <c r="BJ1221" s="420"/>
      <c r="BK1221" s="420"/>
      <c r="BL1221" s="420"/>
      <c r="BM1221" s="420"/>
      <c r="BN1221" s="420"/>
      <c r="BO1221" s="420"/>
      <c r="BP1221" s="420"/>
      <c r="BQ1221" s="420"/>
      <c r="BR1221" s="420"/>
      <c r="BS1221" s="420"/>
      <c r="BT1221" s="420"/>
      <c r="BU1221" s="420"/>
      <c r="BV1221" s="420"/>
      <c r="BW1221" s="420"/>
      <c r="BX1221" s="420"/>
      <c r="BY1221" s="420"/>
      <c r="BZ1221" s="420"/>
      <c r="CA1221" s="420"/>
      <c r="CB1221" s="420"/>
      <c r="CC1221" s="420"/>
      <c r="CD1221" s="420"/>
      <c r="CE1221" s="420"/>
      <c r="CF1221" s="420"/>
      <c r="CG1221" s="420"/>
      <c r="CH1221" s="420"/>
      <c r="CI1221" s="420"/>
      <c r="CJ1221" s="420"/>
      <c r="CK1221" s="420"/>
      <c r="CL1221" s="420"/>
      <c r="CM1221" s="420"/>
      <c r="CN1221" s="420"/>
      <c r="CO1221" s="420"/>
      <c r="CP1221" s="420"/>
      <c r="CQ1221" s="420"/>
      <c r="CR1221" s="420"/>
      <c r="CS1221" s="420"/>
      <c r="CT1221" s="420"/>
      <c r="CU1221" s="420"/>
      <c r="CV1221" s="420"/>
      <c r="CW1221" s="420"/>
      <c r="CX1221" s="420"/>
      <c r="CY1221" s="420"/>
      <c r="CZ1221" s="420"/>
      <c r="DA1221" s="420"/>
      <c r="DB1221" s="420"/>
      <c r="DC1221" s="420"/>
      <c r="DD1221" s="420"/>
      <c r="DE1221" s="420"/>
      <c r="DF1221" s="420"/>
      <c r="DG1221" s="420"/>
      <c r="DH1221" s="420"/>
      <c r="DI1221" s="420"/>
      <c r="DJ1221" s="420"/>
      <c r="DK1221" s="420"/>
      <c r="DL1221" s="420"/>
      <c r="DM1221" s="420"/>
      <c r="DN1221" s="420"/>
      <c r="DO1221" s="420"/>
      <c r="DP1221" s="420"/>
      <c r="DQ1221" s="420"/>
      <c r="DR1221" s="420"/>
      <c r="DS1221" s="420"/>
      <c r="DT1221" s="420"/>
      <c r="DU1221" s="420"/>
      <c r="DV1221" s="420"/>
      <c r="DW1221" s="420"/>
      <c r="DX1221" s="420"/>
      <c r="DY1221" s="420"/>
      <c r="DZ1221" s="420"/>
      <c r="EA1221" s="420"/>
      <c r="EB1221" s="420"/>
      <c r="EC1221" s="420"/>
      <c r="ED1221" s="420"/>
      <c r="EE1221" s="420"/>
      <c r="EF1221" s="420"/>
      <c r="EG1221" s="420"/>
      <c r="EH1221" s="420"/>
      <c r="EI1221" s="420"/>
      <c r="EJ1221" s="420"/>
      <c r="EK1221" s="420"/>
      <c r="EL1221" s="420"/>
      <c r="EM1221" s="420"/>
      <c r="EN1221" s="420"/>
      <c r="EO1221" s="420"/>
      <c r="EP1221" s="420"/>
      <c r="EQ1221" s="420"/>
      <c r="ER1221" s="420"/>
      <c r="ES1221" s="420"/>
      <c r="ET1221" s="420"/>
      <c r="EU1221" s="420"/>
      <c r="EV1221" s="420"/>
      <c r="EW1221" s="420"/>
      <c r="EX1221" s="420"/>
      <c r="EY1221" s="420"/>
      <c r="EZ1221" s="420"/>
      <c r="FA1221" s="420"/>
      <c r="FB1221" s="420"/>
      <c r="FC1221" s="420"/>
      <c r="FD1221" s="420"/>
      <c r="FE1221" s="420"/>
      <c r="FF1221" s="420"/>
      <c r="FG1221" s="420"/>
      <c r="FH1221" s="420"/>
      <c r="FI1221" s="420"/>
      <c r="FJ1221" s="420"/>
      <c r="FK1221" s="420"/>
      <c r="FL1221" s="420"/>
      <c r="FM1221" s="420"/>
      <c r="FN1221" s="420"/>
      <c r="FO1221" s="420"/>
      <c r="FP1221" s="420"/>
      <c r="FQ1221" s="420"/>
      <c r="FR1221" s="420"/>
      <c r="FS1221" s="420"/>
      <c r="FT1221" s="420"/>
      <c r="FU1221" s="420"/>
      <c r="FV1221" s="420"/>
      <c r="FW1221" s="420"/>
      <c r="FX1221" s="420"/>
      <c r="FY1221" s="420"/>
    </row>
    <row r="1222" spans="1:181" s="421" customFormat="1" ht="12.75">
      <c r="A1222" s="918" t="s">
        <v>843</v>
      </c>
      <c r="B1222" s="860" t="s">
        <v>844</v>
      </c>
      <c r="C1222" s="920" t="s">
        <v>350</v>
      </c>
      <c r="D1222" s="924">
        <v>10</v>
      </c>
      <c r="E1222" s="925"/>
      <c r="F1222" s="380">
        <f t="shared" si="37"/>
        <v>0</v>
      </c>
      <c r="G1222" s="420"/>
      <c r="H1222" s="420"/>
      <c r="I1222" s="420"/>
      <c r="J1222" s="420"/>
      <c r="K1222" s="420"/>
      <c r="L1222" s="420"/>
      <c r="M1222" s="420"/>
      <c r="N1222" s="640">
        <f t="shared" si="38"/>
        <v>0</v>
      </c>
      <c r="O1222" s="640">
        <f t="shared" si="39"/>
        <v>0</v>
      </c>
      <c r="P1222" s="420"/>
      <c r="Q1222" s="420"/>
      <c r="R1222" s="420"/>
      <c r="S1222" s="420"/>
      <c r="T1222" s="420"/>
      <c r="U1222" s="420"/>
      <c r="V1222" s="420"/>
      <c r="W1222" s="420"/>
      <c r="X1222" s="420"/>
      <c r="Y1222" s="420"/>
      <c r="Z1222" s="420"/>
      <c r="AA1222" s="420"/>
      <c r="AB1222" s="420"/>
      <c r="AC1222" s="420"/>
      <c r="AD1222" s="420"/>
      <c r="AE1222" s="420"/>
      <c r="AF1222" s="420"/>
      <c r="AG1222" s="420"/>
      <c r="AH1222" s="420"/>
      <c r="AI1222" s="420"/>
      <c r="AJ1222" s="420"/>
      <c r="AK1222" s="420"/>
      <c r="AL1222" s="420"/>
      <c r="AM1222" s="420"/>
      <c r="AN1222" s="420"/>
      <c r="AO1222" s="420"/>
      <c r="AP1222" s="420"/>
      <c r="AQ1222" s="420"/>
      <c r="AR1222" s="420"/>
      <c r="AS1222" s="420"/>
      <c r="AT1222" s="420"/>
      <c r="AU1222" s="420"/>
      <c r="AV1222" s="420"/>
      <c r="AW1222" s="420"/>
      <c r="AX1222" s="420"/>
      <c r="AY1222" s="420"/>
      <c r="AZ1222" s="420"/>
      <c r="BA1222" s="420"/>
      <c r="BB1222" s="420"/>
      <c r="BC1222" s="420"/>
      <c r="BD1222" s="420"/>
      <c r="BE1222" s="420"/>
      <c r="BF1222" s="420"/>
      <c r="BG1222" s="420"/>
      <c r="BH1222" s="420"/>
      <c r="BI1222" s="420"/>
      <c r="BJ1222" s="420"/>
      <c r="BK1222" s="420"/>
      <c r="BL1222" s="420"/>
      <c r="BM1222" s="420"/>
      <c r="BN1222" s="420"/>
      <c r="BO1222" s="420"/>
      <c r="BP1222" s="420"/>
      <c r="BQ1222" s="420"/>
      <c r="BR1222" s="420"/>
      <c r="BS1222" s="420"/>
      <c r="BT1222" s="420"/>
      <c r="BU1222" s="420"/>
      <c r="BV1222" s="420"/>
      <c r="BW1222" s="420"/>
      <c r="BX1222" s="420"/>
      <c r="BY1222" s="420"/>
      <c r="BZ1222" s="420"/>
      <c r="CA1222" s="420"/>
      <c r="CB1222" s="420"/>
      <c r="CC1222" s="420"/>
      <c r="CD1222" s="420"/>
      <c r="CE1222" s="420"/>
      <c r="CF1222" s="420"/>
      <c r="CG1222" s="420"/>
      <c r="CH1222" s="420"/>
      <c r="CI1222" s="420"/>
      <c r="CJ1222" s="420"/>
      <c r="CK1222" s="420"/>
      <c r="CL1222" s="420"/>
      <c r="CM1222" s="420"/>
      <c r="CN1222" s="420"/>
      <c r="CO1222" s="420"/>
      <c r="CP1222" s="420"/>
      <c r="CQ1222" s="420"/>
      <c r="CR1222" s="420"/>
      <c r="CS1222" s="420"/>
      <c r="CT1222" s="420"/>
      <c r="CU1222" s="420"/>
      <c r="CV1222" s="420"/>
      <c r="CW1222" s="420"/>
      <c r="CX1222" s="420"/>
      <c r="CY1222" s="420"/>
      <c r="CZ1222" s="420"/>
      <c r="DA1222" s="420"/>
      <c r="DB1222" s="420"/>
      <c r="DC1222" s="420"/>
      <c r="DD1222" s="420"/>
      <c r="DE1222" s="420"/>
      <c r="DF1222" s="420"/>
      <c r="DG1222" s="420"/>
      <c r="DH1222" s="420"/>
      <c r="DI1222" s="420"/>
      <c r="DJ1222" s="420"/>
      <c r="DK1222" s="420"/>
      <c r="DL1222" s="420"/>
      <c r="DM1222" s="420"/>
      <c r="DN1222" s="420"/>
      <c r="DO1222" s="420"/>
      <c r="DP1222" s="420"/>
      <c r="DQ1222" s="420"/>
      <c r="DR1222" s="420"/>
      <c r="DS1222" s="420"/>
      <c r="DT1222" s="420"/>
      <c r="DU1222" s="420"/>
      <c r="DV1222" s="420"/>
      <c r="DW1222" s="420"/>
      <c r="DX1222" s="420"/>
      <c r="DY1222" s="420"/>
      <c r="DZ1222" s="420"/>
      <c r="EA1222" s="420"/>
      <c r="EB1222" s="420"/>
      <c r="EC1222" s="420"/>
      <c r="ED1222" s="420"/>
      <c r="EE1222" s="420"/>
      <c r="EF1222" s="420"/>
      <c r="EG1222" s="420"/>
      <c r="EH1222" s="420"/>
      <c r="EI1222" s="420"/>
      <c r="EJ1222" s="420"/>
      <c r="EK1222" s="420"/>
      <c r="EL1222" s="420"/>
      <c r="EM1222" s="420"/>
      <c r="EN1222" s="420"/>
      <c r="EO1222" s="420"/>
      <c r="EP1222" s="420"/>
      <c r="EQ1222" s="420"/>
      <c r="ER1222" s="420"/>
      <c r="ES1222" s="420"/>
      <c r="ET1222" s="420"/>
      <c r="EU1222" s="420"/>
      <c r="EV1222" s="420"/>
      <c r="EW1222" s="420"/>
      <c r="EX1222" s="420"/>
      <c r="EY1222" s="420"/>
      <c r="EZ1222" s="420"/>
      <c r="FA1222" s="420"/>
      <c r="FB1222" s="420"/>
      <c r="FC1222" s="420"/>
      <c r="FD1222" s="420"/>
      <c r="FE1222" s="420"/>
      <c r="FF1222" s="420"/>
      <c r="FG1222" s="420"/>
      <c r="FH1222" s="420"/>
      <c r="FI1222" s="420"/>
      <c r="FJ1222" s="420"/>
      <c r="FK1222" s="420"/>
      <c r="FL1222" s="420"/>
      <c r="FM1222" s="420"/>
      <c r="FN1222" s="420"/>
      <c r="FO1222" s="420"/>
      <c r="FP1222" s="420"/>
      <c r="FQ1222" s="420"/>
      <c r="FR1222" s="420"/>
      <c r="FS1222" s="420"/>
      <c r="FT1222" s="420"/>
      <c r="FU1222" s="420"/>
      <c r="FV1222" s="420"/>
      <c r="FW1222" s="420"/>
      <c r="FX1222" s="420"/>
      <c r="FY1222" s="420"/>
    </row>
    <row r="1223" spans="1:181" s="421" customFormat="1" ht="19.5" customHeight="1">
      <c r="A1223" s="918" t="s">
        <v>845</v>
      </c>
      <c r="B1223" s="919" t="s">
        <v>846</v>
      </c>
      <c r="C1223" s="920" t="s">
        <v>350</v>
      </c>
      <c r="D1223" s="921">
        <v>10</v>
      </c>
      <c r="E1223" s="922"/>
      <c r="F1223" s="380">
        <f t="shared" si="37"/>
        <v>0</v>
      </c>
      <c r="G1223" s="420"/>
      <c r="H1223" s="420"/>
      <c r="I1223" s="420"/>
      <c r="J1223" s="420"/>
      <c r="K1223" s="420"/>
      <c r="L1223" s="420"/>
      <c r="M1223" s="420"/>
      <c r="N1223" s="640">
        <f t="shared" si="38"/>
        <v>0</v>
      </c>
      <c r="O1223" s="640">
        <f t="shared" si="39"/>
        <v>0</v>
      </c>
      <c r="P1223" s="420"/>
      <c r="Q1223" s="420"/>
      <c r="R1223" s="420"/>
      <c r="S1223" s="420"/>
      <c r="T1223" s="420"/>
      <c r="U1223" s="420"/>
      <c r="V1223" s="420"/>
      <c r="W1223" s="420"/>
      <c r="X1223" s="420"/>
      <c r="Y1223" s="420"/>
      <c r="Z1223" s="420"/>
      <c r="AA1223" s="420"/>
      <c r="AB1223" s="420"/>
      <c r="AC1223" s="420"/>
      <c r="AD1223" s="420"/>
      <c r="AE1223" s="420"/>
      <c r="AF1223" s="420"/>
      <c r="AG1223" s="420"/>
      <c r="AH1223" s="420"/>
      <c r="AI1223" s="420"/>
      <c r="AJ1223" s="420"/>
      <c r="AK1223" s="420"/>
      <c r="AL1223" s="420"/>
      <c r="AM1223" s="420"/>
      <c r="AN1223" s="420"/>
      <c r="AO1223" s="420"/>
      <c r="AP1223" s="420"/>
      <c r="AQ1223" s="420"/>
      <c r="AR1223" s="420"/>
      <c r="AS1223" s="420"/>
      <c r="AT1223" s="420"/>
      <c r="AU1223" s="420"/>
      <c r="AV1223" s="420"/>
      <c r="AW1223" s="420"/>
      <c r="AX1223" s="420"/>
      <c r="AY1223" s="420"/>
      <c r="AZ1223" s="420"/>
      <c r="BA1223" s="420"/>
      <c r="BB1223" s="420"/>
      <c r="BC1223" s="420"/>
      <c r="BD1223" s="420"/>
      <c r="BE1223" s="420"/>
      <c r="BF1223" s="420"/>
      <c r="BG1223" s="420"/>
      <c r="BH1223" s="420"/>
      <c r="BI1223" s="420"/>
      <c r="BJ1223" s="420"/>
      <c r="BK1223" s="420"/>
      <c r="BL1223" s="420"/>
      <c r="BM1223" s="420"/>
      <c r="BN1223" s="420"/>
      <c r="BO1223" s="420"/>
      <c r="BP1223" s="420"/>
      <c r="BQ1223" s="420"/>
      <c r="BR1223" s="420"/>
      <c r="BS1223" s="420"/>
      <c r="BT1223" s="420"/>
      <c r="BU1223" s="420"/>
      <c r="BV1223" s="420"/>
      <c r="BW1223" s="420"/>
      <c r="BX1223" s="420"/>
      <c r="BY1223" s="420"/>
      <c r="BZ1223" s="420"/>
      <c r="CA1223" s="420"/>
      <c r="CB1223" s="420"/>
      <c r="CC1223" s="420"/>
      <c r="CD1223" s="420"/>
      <c r="CE1223" s="420"/>
      <c r="CF1223" s="420"/>
      <c r="CG1223" s="420"/>
      <c r="CH1223" s="420"/>
      <c r="CI1223" s="420"/>
      <c r="CJ1223" s="420"/>
      <c r="CK1223" s="420"/>
      <c r="CL1223" s="420"/>
      <c r="CM1223" s="420"/>
      <c r="CN1223" s="420"/>
      <c r="CO1223" s="420"/>
      <c r="CP1223" s="420"/>
      <c r="CQ1223" s="420"/>
      <c r="CR1223" s="420"/>
      <c r="CS1223" s="420"/>
      <c r="CT1223" s="420"/>
      <c r="CU1223" s="420"/>
      <c r="CV1223" s="420"/>
      <c r="CW1223" s="420"/>
      <c r="CX1223" s="420"/>
      <c r="CY1223" s="420"/>
      <c r="CZ1223" s="420"/>
      <c r="DA1223" s="420"/>
      <c r="DB1223" s="420"/>
      <c r="DC1223" s="420"/>
      <c r="DD1223" s="420"/>
      <c r="DE1223" s="420"/>
      <c r="DF1223" s="420"/>
      <c r="DG1223" s="420"/>
      <c r="DH1223" s="420"/>
      <c r="DI1223" s="420"/>
      <c r="DJ1223" s="420"/>
      <c r="DK1223" s="420"/>
      <c r="DL1223" s="420"/>
      <c r="DM1223" s="420"/>
      <c r="DN1223" s="420"/>
      <c r="DO1223" s="420"/>
      <c r="DP1223" s="420"/>
      <c r="DQ1223" s="420"/>
      <c r="DR1223" s="420"/>
      <c r="DS1223" s="420"/>
      <c r="DT1223" s="420"/>
      <c r="DU1223" s="420"/>
      <c r="DV1223" s="420"/>
      <c r="DW1223" s="420"/>
      <c r="DX1223" s="420"/>
      <c r="DY1223" s="420"/>
      <c r="DZ1223" s="420"/>
      <c r="EA1223" s="420"/>
      <c r="EB1223" s="420"/>
      <c r="EC1223" s="420"/>
      <c r="ED1223" s="420"/>
      <c r="EE1223" s="420"/>
      <c r="EF1223" s="420"/>
      <c r="EG1223" s="420"/>
      <c r="EH1223" s="420"/>
      <c r="EI1223" s="420"/>
      <c r="EJ1223" s="420"/>
      <c r="EK1223" s="420"/>
      <c r="EL1223" s="420"/>
      <c r="EM1223" s="420"/>
      <c r="EN1223" s="420"/>
      <c r="EO1223" s="420"/>
      <c r="EP1223" s="420"/>
      <c r="EQ1223" s="420"/>
      <c r="ER1223" s="420"/>
      <c r="ES1223" s="420"/>
      <c r="ET1223" s="420"/>
      <c r="EU1223" s="420"/>
      <c r="EV1223" s="420"/>
      <c r="EW1223" s="420"/>
      <c r="EX1223" s="420"/>
      <c r="EY1223" s="420"/>
      <c r="EZ1223" s="420"/>
      <c r="FA1223" s="420"/>
      <c r="FB1223" s="420"/>
      <c r="FC1223" s="420"/>
      <c r="FD1223" s="420"/>
      <c r="FE1223" s="420"/>
      <c r="FF1223" s="420"/>
      <c r="FG1223" s="420"/>
      <c r="FH1223" s="420"/>
      <c r="FI1223" s="420"/>
      <c r="FJ1223" s="420"/>
      <c r="FK1223" s="420"/>
      <c r="FL1223" s="420"/>
      <c r="FM1223" s="420"/>
      <c r="FN1223" s="420"/>
      <c r="FO1223" s="420"/>
      <c r="FP1223" s="420"/>
      <c r="FQ1223" s="420"/>
      <c r="FR1223" s="420"/>
      <c r="FS1223" s="420"/>
      <c r="FT1223" s="420"/>
      <c r="FU1223" s="420"/>
      <c r="FV1223" s="420"/>
      <c r="FW1223" s="420"/>
      <c r="FX1223" s="420"/>
      <c r="FY1223" s="420"/>
    </row>
    <row r="1224" spans="1:181" s="421" customFormat="1" ht="25.5">
      <c r="A1224" s="918" t="s">
        <v>847</v>
      </c>
      <c r="B1224" s="919" t="s">
        <v>848</v>
      </c>
      <c r="C1224" s="920" t="s">
        <v>47</v>
      </c>
      <c r="D1224" s="921">
        <v>1</v>
      </c>
      <c r="E1224" s="922"/>
      <c r="F1224" s="380">
        <f t="shared" si="37"/>
        <v>0</v>
      </c>
      <c r="G1224" s="420"/>
      <c r="H1224" s="420"/>
      <c r="I1224" s="420"/>
      <c r="J1224" s="420"/>
      <c r="K1224" s="420"/>
      <c r="L1224" s="420"/>
      <c r="M1224" s="420"/>
      <c r="N1224" s="640">
        <f t="shared" si="38"/>
        <v>0</v>
      </c>
      <c r="O1224" s="640">
        <f t="shared" si="39"/>
        <v>0</v>
      </c>
      <c r="P1224" s="420"/>
      <c r="Q1224" s="420"/>
      <c r="R1224" s="420"/>
      <c r="S1224" s="420"/>
      <c r="T1224" s="420"/>
      <c r="U1224" s="420"/>
      <c r="V1224" s="420"/>
      <c r="W1224" s="420"/>
      <c r="X1224" s="420"/>
      <c r="Y1224" s="420"/>
      <c r="Z1224" s="420"/>
      <c r="AA1224" s="420"/>
      <c r="AB1224" s="420"/>
      <c r="AC1224" s="420"/>
      <c r="AD1224" s="420"/>
      <c r="AE1224" s="420"/>
      <c r="AF1224" s="420"/>
      <c r="AG1224" s="420"/>
      <c r="AH1224" s="420"/>
      <c r="AI1224" s="420"/>
      <c r="AJ1224" s="420"/>
      <c r="AK1224" s="420"/>
      <c r="AL1224" s="420"/>
      <c r="AM1224" s="420"/>
      <c r="AN1224" s="420"/>
      <c r="AO1224" s="420"/>
      <c r="AP1224" s="420"/>
      <c r="AQ1224" s="420"/>
      <c r="AR1224" s="420"/>
      <c r="AS1224" s="420"/>
      <c r="AT1224" s="420"/>
      <c r="AU1224" s="420"/>
      <c r="AV1224" s="420"/>
      <c r="AW1224" s="420"/>
      <c r="AX1224" s="420"/>
      <c r="AY1224" s="420"/>
      <c r="AZ1224" s="420"/>
      <c r="BA1224" s="420"/>
      <c r="BB1224" s="420"/>
      <c r="BC1224" s="420"/>
      <c r="BD1224" s="420"/>
      <c r="BE1224" s="420"/>
      <c r="BF1224" s="420"/>
      <c r="BG1224" s="420"/>
      <c r="BH1224" s="420"/>
      <c r="BI1224" s="420"/>
      <c r="BJ1224" s="420"/>
      <c r="BK1224" s="420"/>
      <c r="BL1224" s="420"/>
      <c r="BM1224" s="420"/>
      <c r="BN1224" s="420"/>
      <c r="BO1224" s="420"/>
      <c r="BP1224" s="420"/>
      <c r="BQ1224" s="420"/>
      <c r="BR1224" s="420"/>
      <c r="BS1224" s="420"/>
      <c r="BT1224" s="420"/>
      <c r="BU1224" s="420"/>
      <c r="BV1224" s="420"/>
      <c r="BW1224" s="420"/>
      <c r="BX1224" s="420"/>
      <c r="BY1224" s="420"/>
      <c r="BZ1224" s="420"/>
      <c r="CA1224" s="420"/>
      <c r="CB1224" s="420"/>
      <c r="CC1224" s="420"/>
      <c r="CD1224" s="420"/>
      <c r="CE1224" s="420"/>
      <c r="CF1224" s="420"/>
      <c r="CG1224" s="420"/>
      <c r="CH1224" s="420"/>
      <c r="CI1224" s="420"/>
      <c r="CJ1224" s="420"/>
      <c r="CK1224" s="420"/>
      <c r="CL1224" s="420"/>
      <c r="CM1224" s="420"/>
      <c r="CN1224" s="420"/>
      <c r="CO1224" s="420"/>
      <c r="CP1224" s="420"/>
      <c r="CQ1224" s="420"/>
      <c r="CR1224" s="420"/>
      <c r="CS1224" s="420"/>
      <c r="CT1224" s="420"/>
      <c r="CU1224" s="420"/>
      <c r="CV1224" s="420"/>
      <c r="CW1224" s="420"/>
      <c r="CX1224" s="420"/>
      <c r="CY1224" s="420"/>
      <c r="CZ1224" s="420"/>
      <c r="DA1224" s="420"/>
      <c r="DB1224" s="420"/>
      <c r="DC1224" s="420"/>
      <c r="DD1224" s="420"/>
      <c r="DE1224" s="420"/>
      <c r="DF1224" s="420"/>
      <c r="DG1224" s="420"/>
      <c r="DH1224" s="420"/>
      <c r="DI1224" s="420"/>
      <c r="DJ1224" s="420"/>
      <c r="DK1224" s="420"/>
      <c r="DL1224" s="420"/>
      <c r="DM1224" s="420"/>
      <c r="DN1224" s="420"/>
      <c r="DO1224" s="420"/>
      <c r="DP1224" s="420"/>
      <c r="DQ1224" s="420"/>
      <c r="DR1224" s="420"/>
      <c r="DS1224" s="420"/>
      <c r="DT1224" s="420"/>
      <c r="DU1224" s="420"/>
      <c r="DV1224" s="420"/>
      <c r="DW1224" s="420"/>
      <c r="DX1224" s="420"/>
      <c r="DY1224" s="420"/>
      <c r="DZ1224" s="420"/>
      <c r="EA1224" s="420"/>
      <c r="EB1224" s="420"/>
      <c r="EC1224" s="420"/>
      <c r="ED1224" s="420"/>
      <c r="EE1224" s="420"/>
      <c r="EF1224" s="420"/>
      <c r="EG1224" s="420"/>
      <c r="EH1224" s="420"/>
      <c r="EI1224" s="420"/>
      <c r="EJ1224" s="420"/>
      <c r="EK1224" s="420"/>
      <c r="EL1224" s="420"/>
      <c r="EM1224" s="420"/>
      <c r="EN1224" s="420"/>
      <c r="EO1224" s="420"/>
      <c r="EP1224" s="420"/>
      <c r="EQ1224" s="420"/>
      <c r="ER1224" s="420"/>
      <c r="ES1224" s="420"/>
      <c r="ET1224" s="420"/>
      <c r="EU1224" s="420"/>
      <c r="EV1224" s="420"/>
      <c r="EW1224" s="420"/>
      <c r="EX1224" s="420"/>
      <c r="EY1224" s="420"/>
      <c r="EZ1224" s="420"/>
      <c r="FA1224" s="420"/>
      <c r="FB1224" s="420"/>
      <c r="FC1224" s="420"/>
      <c r="FD1224" s="420"/>
      <c r="FE1224" s="420"/>
      <c r="FF1224" s="420"/>
      <c r="FG1224" s="420"/>
      <c r="FH1224" s="420"/>
      <c r="FI1224" s="420"/>
      <c r="FJ1224" s="420"/>
      <c r="FK1224" s="420"/>
      <c r="FL1224" s="420"/>
      <c r="FM1224" s="420"/>
      <c r="FN1224" s="420"/>
      <c r="FO1224" s="420"/>
      <c r="FP1224" s="420"/>
      <c r="FQ1224" s="420"/>
      <c r="FR1224" s="420"/>
      <c r="FS1224" s="420"/>
      <c r="FT1224" s="420"/>
      <c r="FU1224" s="420"/>
      <c r="FV1224" s="420"/>
      <c r="FW1224" s="420"/>
      <c r="FX1224" s="420"/>
      <c r="FY1224" s="420"/>
    </row>
    <row r="1225" spans="1:181" s="421" customFormat="1" ht="25.5">
      <c r="A1225" s="918" t="s">
        <v>849</v>
      </c>
      <c r="B1225" s="919" t="s">
        <v>850</v>
      </c>
      <c r="C1225" s="920" t="s">
        <v>47</v>
      </c>
      <c r="D1225" s="921">
        <v>2</v>
      </c>
      <c r="E1225" s="922"/>
      <c r="F1225" s="380">
        <f t="shared" si="37"/>
        <v>0</v>
      </c>
      <c r="G1225" s="420"/>
      <c r="H1225" s="420"/>
      <c r="I1225" s="420"/>
      <c r="J1225" s="420"/>
      <c r="K1225" s="420"/>
      <c r="L1225" s="420"/>
      <c r="M1225" s="420"/>
      <c r="N1225" s="640">
        <f t="shared" si="38"/>
        <v>0</v>
      </c>
      <c r="O1225" s="640">
        <f t="shared" si="39"/>
        <v>0</v>
      </c>
      <c r="P1225" s="420"/>
      <c r="Q1225" s="420"/>
      <c r="R1225" s="420"/>
      <c r="S1225" s="420"/>
      <c r="T1225" s="420"/>
      <c r="U1225" s="420"/>
      <c r="V1225" s="420"/>
      <c r="W1225" s="420"/>
      <c r="X1225" s="420"/>
      <c r="Y1225" s="420"/>
      <c r="Z1225" s="420"/>
      <c r="AA1225" s="420"/>
      <c r="AB1225" s="420"/>
      <c r="AC1225" s="420"/>
      <c r="AD1225" s="420"/>
      <c r="AE1225" s="420"/>
      <c r="AF1225" s="420"/>
      <c r="AG1225" s="420"/>
      <c r="AH1225" s="420"/>
      <c r="AI1225" s="420"/>
      <c r="AJ1225" s="420"/>
      <c r="AK1225" s="420"/>
      <c r="AL1225" s="420"/>
      <c r="AM1225" s="420"/>
      <c r="AN1225" s="420"/>
      <c r="AO1225" s="420"/>
      <c r="AP1225" s="420"/>
      <c r="AQ1225" s="420"/>
      <c r="AR1225" s="420"/>
      <c r="AS1225" s="420"/>
      <c r="AT1225" s="420"/>
      <c r="AU1225" s="420"/>
      <c r="AV1225" s="420"/>
      <c r="AW1225" s="420"/>
      <c r="AX1225" s="420"/>
      <c r="AY1225" s="420"/>
      <c r="AZ1225" s="420"/>
      <c r="BA1225" s="420"/>
      <c r="BB1225" s="420"/>
      <c r="BC1225" s="420"/>
      <c r="BD1225" s="420"/>
      <c r="BE1225" s="420"/>
      <c r="BF1225" s="420"/>
      <c r="BG1225" s="420"/>
      <c r="BH1225" s="420"/>
      <c r="BI1225" s="420"/>
      <c r="BJ1225" s="420"/>
      <c r="BK1225" s="420"/>
      <c r="BL1225" s="420"/>
      <c r="BM1225" s="420"/>
      <c r="BN1225" s="420"/>
      <c r="BO1225" s="420"/>
      <c r="BP1225" s="420"/>
      <c r="BQ1225" s="420"/>
      <c r="BR1225" s="420"/>
      <c r="BS1225" s="420"/>
      <c r="BT1225" s="420"/>
      <c r="BU1225" s="420"/>
      <c r="BV1225" s="420"/>
      <c r="BW1225" s="420"/>
      <c r="BX1225" s="420"/>
      <c r="BY1225" s="420"/>
      <c r="BZ1225" s="420"/>
      <c r="CA1225" s="420"/>
      <c r="CB1225" s="420"/>
      <c r="CC1225" s="420"/>
      <c r="CD1225" s="420"/>
      <c r="CE1225" s="420"/>
      <c r="CF1225" s="420"/>
      <c r="CG1225" s="420"/>
      <c r="CH1225" s="420"/>
      <c r="CI1225" s="420"/>
      <c r="CJ1225" s="420"/>
      <c r="CK1225" s="420"/>
      <c r="CL1225" s="420"/>
      <c r="CM1225" s="420"/>
      <c r="CN1225" s="420"/>
      <c r="CO1225" s="420"/>
      <c r="CP1225" s="420"/>
      <c r="CQ1225" s="420"/>
      <c r="CR1225" s="420"/>
      <c r="CS1225" s="420"/>
      <c r="CT1225" s="420"/>
      <c r="CU1225" s="420"/>
      <c r="CV1225" s="420"/>
      <c r="CW1225" s="420"/>
      <c r="CX1225" s="420"/>
      <c r="CY1225" s="420"/>
      <c r="CZ1225" s="420"/>
      <c r="DA1225" s="420"/>
      <c r="DB1225" s="420"/>
      <c r="DC1225" s="420"/>
      <c r="DD1225" s="420"/>
      <c r="DE1225" s="420"/>
      <c r="DF1225" s="420"/>
      <c r="DG1225" s="420"/>
      <c r="DH1225" s="420"/>
      <c r="DI1225" s="420"/>
      <c r="DJ1225" s="420"/>
      <c r="DK1225" s="420"/>
      <c r="DL1225" s="420"/>
      <c r="DM1225" s="420"/>
      <c r="DN1225" s="420"/>
      <c r="DO1225" s="420"/>
      <c r="DP1225" s="420"/>
      <c r="DQ1225" s="420"/>
      <c r="DR1225" s="420"/>
      <c r="DS1225" s="420"/>
      <c r="DT1225" s="420"/>
      <c r="DU1225" s="420"/>
      <c r="DV1225" s="420"/>
      <c r="DW1225" s="420"/>
      <c r="DX1225" s="420"/>
      <c r="DY1225" s="420"/>
      <c r="DZ1225" s="420"/>
      <c r="EA1225" s="420"/>
      <c r="EB1225" s="420"/>
      <c r="EC1225" s="420"/>
      <c r="ED1225" s="420"/>
      <c r="EE1225" s="420"/>
      <c r="EF1225" s="420"/>
      <c r="EG1225" s="420"/>
      <c r="EH1225" s="420"/>
      <c r="EI1225" s="420"/>
      <c r="EJ1225" s="420"/>
      <c r="EK1225" s="420"/>
      <c r="EL1225" s="420"/>
      <c r="EM1225" s="420"/>
      <c r="EN1225" s="420"/>
      <c r="EO1225" s="420"/>
      <c r="EP1225" s="420"/>
      <c r="EQ1225" s="420"/>
      <c r="ER1225" s="420"/>
      <c r="ES1225" s="420"/>
      <c r="ET1225" s="420"/>
      <c r="EU1225" s="420"/>
      <c r="EV1225" s="420"/>
      <c r="EW1225" s="420"/>
      <c r="EX1225" s="420"/>
      <c r="EY1225" s="420"/>
      <c r="EZ1225" s="420"/>
      <c r="FA1225" s="420"/>
      <c r="FB1225" s="420"/>
      <c r="FC1225" s="420"/>
      <c r="FD1225" s="420"/>
      <c r="FE1225" s="420"/>
      <c r="FF1225" s="420"/>
      <c r="FG1225" s="420"/>
      <c r="FH1225" s="420"/>
      <c r="FI1225" s="420"/>
      <c r="FJ1225" s="420"/>
      <c r="FK1225" s="420"/>
      <c r="FL1225" s="420"/>
      <c r="FM1225" s="420"/>
      <c r="FN1225" s="420"/>
      <c r="FO1225" s="420"/>
      <c r="FP1225" s="420"/>
      <c r="FQ1225" s="420"/>
      <c r="FR1225" s="420"/>
      <c r="FS1225" s="420"/>
      <c r="FT1225" s="420"/>
      <c r="FU1225" s="420"/>
      <c r="FV1225" s="420"/>
      <c r="FW1225" s="420"/>
      <c r="FX1225" s="420"/>
      <c r="FY1225" s="420"/>
    </row>
    <row r="1226" spans="1:181" s="421" customFormat="1" ht="31.5" customHeight="1">
      <c r="A1226" s="918" t="s">
        <v>851</v>
      </c>
      <c r="B1226" s="919" t="s">
        <v>852</v>
      </c>
      <c r="C1226" s="920" t="s">
        <v>47</v>
      </c>
      <c r="D1226" s="921">
        <v>1</v>
      </c>
      <c r="E1226" s="922"/>
      <c r="F1226" s="380">
        <f t="shared" si="37"/>
        <v>0</v>
      </c>
      <c r="G1226" s="420"/>
      <c r="H1226" s="420"/>
      <c r="I1226" s="420"/>
      <c r="J1226" s="420"/>
      <c r="K1226" s="420"/>
      <c r="L1226" s="420"/>
      <c r="M1226" s="420"/>
      <c r="N1226" s="640">
        <f t="shared" si="38"/>
        <v>0</v>
      </c>
      <c r="O1226" s="640">
        <f t="shared" si="39"/>
        <v>0</v>
      </c>
      <c r="P1226" s="420"/>
      <c r="Q1226" s="420"/>
      <c r="R1226" s="420"/>
      <c r="S1226" s="420"/>
      <c r="T1226" s="420"/>
      <c r="U1226" s="420"/>
      <c r="V1226" s="420"/>
      <c r="W1226" s="420"/>
      <c r="X1226" s="420"/>
      <c r="Y1226" s="420"/>
      <c r="Z1226" s="420"/>
      <c r="AA1226" s="420"/>
      <c r="AB1226" s="420"/>
      <c r="AC1226" s="420"/>
      <c r="AD1226" s="420"/>
      <c r="AE1226" s="420"/>
      <c r="AF1226" s="420"/>
      <c r="AG1226" s="420"/>
      <c r="AH1226" s="420"/>
      <c r="AI1226" s="420"/>
      <c r="AJ1226" s="420"/>
      <c r="AK1226" s="420"/>
      <c r="AL1226" s="420"/>
      <c r="AM1226" s="420"/>
      <c r="AN1226" s="420"/>
      <c r="AO1226" s="420"/>
      <c r="AP1226" s="420"/>
      <c r="AQ1226" s="420"/>
      <c r="AR1226" s="420"/>
      <c r="AS1226" s="420"/>
      <c r="AT1226" s="420"/>
      <c r="AU1226" s="420"/>
      <c r="AV1226" s="420"/>
      <c r="AW1226" s="420"/>
      <c r="AX1226" s="420"/>
      <c r="AY1226" s="420"/>
      <c r="AZ1226" s="420"/>
      <c r="BA1226" s="420"/>
      <c r="BB1226" s="420"/>
      <c r="BC1226" s="420"/>
      <c r="BD1226" s="420"/>
      <c r="BE1226" s="420"/>
      <c r="BF1226" s="420"/>
      <c r="BG1226" s="420"/>
      <c r="BH1226" s="420"/>
      <c r="BI1226" s="420"/>
      <c r="BJ1226" s="420"/>
      <c r="BK1226" s="420"/>
      <c r="BL1226" s="420"/>
      <c r="BM1226" s="420"/>
      <c r="BN1226" s="420"/>
      <c r="BO1226" s="420"/>
      <c r="BP1226" s="420"/>
      <c r="BQ1226" s="420"/>
      <c r="BR1226" s="420"/>
      <c r="BS1226" s="420"/>
      <c r="BT1226" s="420"/>
      <c r="BU1226" s="420"/>
      <c r="BV1226" s="420"/>
      <c r="BW1226" s="420"/>
      <c r="BX1226" s="420"/>
      <c r="BY1226" s="420"/>
      <c r="BZ1226" s="420"/>
      <c r="CA1226" s="420"/>
      <c r="CB1226" s="420"/>
      <c r="CC1226" s="420"/>
      <c r="CD1226" s="420"/>
      <c r="CE1226" s="420"/>
      <c r="CF1226" s="420"/>
      <c r="CG1226" s="420"/>
      <c r="CH1226" s="420"/>
      <c r="CI1226" s="420"/>
      <c r="CJ1226" s="420"/>
      <c r="CK1226" s="420"/>
      <c r="CL1226" s="420"/>
      <c r="CM1226" s="420"/>
      <c r="CN1226" s="420"/>
      <c r="CO1226" s="420"/>
      <c r="CP1226" s="420"/>
      <c r="CQ1226" s="420"/>
      <c r="CR1226" s="420"/>
      <c r="CS1226" s="420"/>
      <c r="CT1226" s="420"/>
      <c r="CU1226" s="420"/>
      <c r="CV1226" s="420"/>
      <c r="CW1226" s="420"/>
      <c r="CX1226" s="420"/>
      <c r="CY1226" s="420"/>
      <c r="CZ1226" s="420"/>
      <c r="DA1226" s="420"/>
      <c r="DB1226" s="420"/>
      <c r="DC1226" s="420"/>
      <c r="DD1226" s="420"/>
      <c r="DE1226" s="420"/>
      <c r="DF1226" s="420"/>
      <c r="DG1226" s="420"/>
      <c r="DH1226" s="420"/>
      <c r="DI1226" s="420"/>
      <c r="DJ1226" s="420"/>
      <c r="DK1226" s="420"/>
      <c r="DL1226" s="420"/>
      <c r="DM1226" s="420"/>
      <c r="DN1226" s="420"/>
      <c r="DO1226" s="420"/>
      <c r="DP1226" s="420"/>
      <c r="DQ1226" s="420"/>
      <c r="DR1226" s="420"/>
      <c r="DS1226" s="420"/>
      <c r="DT1226" s="420"/>
      <c r="DU1226" s="420"/>
      <c r="DV1226" s="420"/>
      <c r="DW1226" s="420"/>
      <c r="DX1226" s="420"/>
      <c r="DY1226" s="420"/>
      <c r="DZ1226" s="420"/>
      <c r="EA1226" s="420"/>
      <c r="EB1226" s="420"/>
      <c r="EC1226" s="420"/>
      <c r="ED1226" s="420"/>
      <c r="EE1226" s="420"/>
      <c r="EF1226" s="420"/>
      <c r="EG1226" s="420"/>
      <c r="EH1226" s="420"/>
      <c r="EI1226" s="420"/>
      <c r="EJ1226" s="420"/>
      <c r="EK1226" s="420"/>
      <c r="EL1226" s="420"/>
      <c r="EM1226" s="420"/>
      <c r="EN1226" s="420"/>
      <c r="EO1226" s="420"/>
      <c r="EP1226" s="420"/>
      <c r="EQ1226" s="420"/>
      <c r="ER1226" s="420"/>
      <c r="ES1226" s="420"/>
      <c r="ET1226" s="420"/>
      <c r="EU1226" s="420"/>
      <c r="EV1226" s="420"/>
      <c r="EW1226" s="420"/>
      <c r="EX1226" s="420"/>
      <c r="EY1226" s="420"/>
      <c r="EZ1226" s="420"/>
      <c r="FA1226" s="420"/>
      <c r="FB1226" s="420"/>
      <c r="FC1226" s="420"/>
      <c r="FD1226" s="420"/>
      <c r="FE1226" s="420"/>
      <c r="FF1226" s="420"/>
      <c r="FG1226" s="420"/>
      <c r="FH1226" s="420"/>
      <c r="FI1226" s="420"/>
      <c r="FJ1226" s="420"/>
      <c r="FK1226" s="420"/>
      <c r="FL1226" s="420"/>
      <c r="FM1226" s="420"/>
      <c r="FN1226" s="420"/>
      <c r="FO1226" s="420"/>
      <c r="FP1226" s="420"/>
      <c r="FQ1226" s="420"/>
      <c r="FR1226" s="420"/>
      <c r="FS1226" s="420"/>
      <c r="FT1226" s="420"/>
      <c r="FU1226" s="420"/>
      <c r="FV1226" s="420"/>
      <c r="FW1226" s="420"/>
      <c r="FX1226" s="420"/>
      <c r="FY1226" s="420"/>
    </row>
    <row r="1227" spans="1:181" s="421" customFormat="1" ht="55.5" customHeight="1">
      <c r="A1227" s="918" t="s">
        <v>853</v>
      </c>
      <c r="B1227" s="919" t="s">
        <v>854</v>
      </c>
      <c r="C1227" s="920" t="s">
        <v>350</v>
      </c>
      <c r="D1227" s="921">
        <v>10</v>
      </c>
      <c r="E1227" s="922"/>
      <c r="F1227" s="380">
        <f t="shared" si="37"/>
        <v>0</v>
      </c>
      <c r="G1227" s="420"/>
      <c r="H1227" s="420"/>
      <c r="I1227" s="420"/>
      <c r="J1227" s="420"/>
      <c r="K1227" s="420"/>
      <c r="L1227" s="420"/>
      <c r="M1227" s="420"/>
      <c r="N1227" s="640">
        <f t="shared" si="38"/>
        <v>0</v>
      </c>
      <c r="O1227" s="640">
        <f t="shared" si="39"/>
        <v>0</v>
      </c>
      <c r="P1227" s="420"/>
      <c r="Q1227" s="420"/>
      <c r="R1227" s="420"/>
      <c r="S1227" s="420"/>
      <c r="T1227" s="420"/>
      <c r="U1227" s="420"/>
      <c r="V1227" s="420"/>
      <c r="W1227" s="420"/>
      <c r="X1227" s="420"/>
      <c r="Y1227" s="420"/>
      <c r="Z1227" s="420"/>
      <c r="AA1227" s="420"/>
      <c r="AB1227" s="420"/>
      <c r="AC1227" s="420"/>
      <c r="AD1227" s="420"/>
      <c r="AE1227" s="420"/>
      <c r="AF1227" s="420"/>
      <c r="AG1227" s="420"/>
      <c r="AH1227" s="420"/>
      <c r="AI1227" s="420"/>
      <c r="AJ1227" s="420"/>
      <c r="AK1227" s="420"/>
      <c r="AL1227" s="420"/>
      <c r="AM1227" s="420"/>
      <c r="AN1227" s="420"/>
      <c r="AO1227" s="420"/>
      <c r="AP1227" s="420"/>
      <c r="AQ1227" s="420"/>
      <c r="AR1227" s="420"/>
      <c r="AS1227" s="420"/>
      <c r="AT1227" s="420"/>
      <c r="AU1227" s="420"/>
      <c r="AV1227" s="420"/>
      <c r="AW1227" s="420"/>
      <c r="AX1227" s="420"/>
      <c r="AY1227" s="420"/>
      <c r="AZ1227" s="420"/>
      <c r="BA1227" s="420"/>
      <c r="BB1227" s="420"/>
      <c r="BC1227" s="420"/>
      <c r="BD1227" s="420"/>
      <c r="BE1227" s="420"/>
      <c r="BF1227" s="420"/>
      <c r="BG1227" s="420"/>
      <c r="BH1227" s="420"/>
      <c r="BI1227" s="420"/>
      <c r="BJ1227" s="420"/>
      <c r="BK1227" s="420"/>
      <c r="BL1227" s="420"/>
      <c r="BM1227" s="420"/>
      <c r="BN1227" s="420"/>
      <c r="BO1227" s="420"/>
      <c r="BP1227" s="420"/>
      <c r="BQ1227" s="420"/>
      <c r="BR1227" s="420"/>
      <c r="BS1227" s="420"/>
      <c r="BT1227" s="420"/>
      <c r="BU1227" s="420"/>
      <c r="BV1227" s="420"/>
      <c r="BW1227" s="420"/>
      <c r="BX1227" s="420"/>
      <c r="BY1227" s="420"/>
      <c r="BZ1227" s="420"/>
      <c r="CA1227" s="420"/>
      <c r="CB1227" s="420"/>
      <c r="CC1227" s="420"/>
      <c r="CD1227" s="420"/>
      <c r="CE1227" s="420"/>
      <c r="CF1227" s="420"/>
      <c r="CG1227" s="420"/>
      <c r="CH1227" s="420"/>
      <c r="CI1227" s="420"/>
      <c r="CJ1227" s="420"/>
      <c r="CK1227" s="420"/>
      <c r="CL1227" s="420"/>
      <c r="CM1227" s="420"/>
      <c r="CN1227" s="420"/>
      <c r="CO1227" s="420"/>
      <c r="CP1227" s="420"/>
      <c r="CQ1227" s="420"/>
      <c r="CR1227" s="420"/>
      <c r="CS1227" s="420"/>
      <c r="CT1227" s="420"/>
      <c r="CU1227" s="420"/>
      <c r="CV1227" s="420"/>
      <c r="CW1227" s="420"/>
      <c r="CX1227" s="420"/>
      <c r="CY1227" s="420"/>
      <c r="CZ1227" s="420"/>
      <c r="DA1227" s="420"/>
      <c r="DB1227" s="420"/>
      <c r="DC1227" s="420"/>
      <c r="DD1227" s="420"/>
      <c r="DE1227" s="420"/>
      <c r="DF1227" s="420"/>
      <c r="DG1227" s="420"/>
      <c r="DH1227" s="420"/>
      <c r="DI1227" s="420"/>
      <c r="DJ1227" s="420"/>
      <c r="DK1227" s="420"/>
      <c r="DL1227" s="420"/>
      <c r="DM1227" s="420"/>
      <c r="DN1227" s="420"/>
      <c r="DO1227" s="420"/>
      <c r="DP1227" s="420"/>
      <c r="DQ1227" s="420"/>
      <c r="DR1227" s="420"/>
      <c r="DS1227" s="420"/>
      <c r="DT1227" s="420"/>
      <c r="DU1227" s="420"/>
      <c r="DV1227" s="420"/>
      <c r="DW1227" s="420"/>
      <c r="DX1227" s="420"/>
      <c r="DY1227" s="420"/>
      <c r="DZ1227" s="420"/>
      <c r="EA1227" s="420"/>
      <c r="EB1227" s="420"/>
      <c r="EC1227" s="420"/>
      <c r="ED1227" s="420"/>
      <c r="EE1227" s="420"/>
      <c r="EF1227" s="420"/>
      <c r="EG1227" s="420"/>
      <c r="EH1227" s="420"/>
      <c r="EI1227" s="420"/>
      <c r="EJ1227" s="420"/>
      <c r="EK1227" s="420"/>
      <c r="EL1227" s="420"/>
      <c r="EM1227" s="420"/>
      <c r="EN1227" s="420"/>
      <c r="EO1227" s="420"/>
      <c r="EP1227" s="420"/>
      <c r="EQ1227" s="420"/>
      <c r="ER1227" s="420"/>
      <c r="ES1227" s="420"/>
      <c r="ET1227" s="420"/>
      <c r="EU1227" s="420"/>
      <c r="EV1227" s="420"/>
      <c r="EW1227" s="420"/>
      <c r="EX1227" s="420"/>
      <c r="EY1227" s="420"/>
      <c r="EZ1227" s="420"/>
      <c r="FA1227" s="420"/>
      <c r="FB1227" s="420"/>
      <c r="FC1227" s="420"/>
      <c r="FD1227" s="420"/>
      <c r="FE1227" s="420"/>
      <c r="FF1227" s="420"/>
      <c r="FG1227" s="420"/>
      <c r="FH1227" s="420"/>
      <c r="FI1227" s="420"/>
      <c r="FJ1227" s="420"/>
      <c r="FK1227" s="420"/>
      <c r="FL1227" s="420"/>
      <c r="FM1227" s="420"/>
      <c r="FN1227" s="420"/>
      <c r="FO1227" s="420"/>
      <c r="FP1227" s="420"/>
      <c r="FQ1227" s="420"/>
      <c r="FR1227" s="420"/>
      <c r="FS1227" s="420"/>
      <c r="FT1227" s="420"/>
      <c r="FU1227" s="420"/>
      <c r="FV1227" s="420"/>
      <c r="FW1227" s="420"/>
      <c r="FX1227" s="420"/>
      <c r="FY1227" s="420"/>
    </row>
    <row r="1228" spans="1:181" s="421" customFormat="1" ht="19.5" customHeight="1">
      <c r="A1228" s="918"/>
      <c r="B1228" s="919"/>
      <c r="C1228" s="920"/>
      <c r="D1228" s="921"/>
      <c r="E1228" s="922"/>
      <c r="F1228" s="923"/>
      <c r="G1228" s="420"/>
      <c r="H1228" s="420"/>
      <c r="I1228" s="420"/>
      <c r="J1228" s="420"/>
      <c r="K1228" s="420"/>
      <c r="L1228" s="420"/>
      <c r="M1228" s="420"/>
      <c r="N1228" s="646"/>
      <c r="O1228" s="646"/>
      <c r="P1228" s="420"/>
      <c r="Q1228" s="420"/>
      <c r="R1228" s="420"/>
      <c r="S1228" s="420"/>
      <c r="T1228" s="420"/>
      <c r="U1228" s="420"/>
      <c r="V1228" s="420"/>
      <c r="W1228" s="420"/>
      <c r="X1228" s="420"/>
      <c r="Y1228" s="420"/>
      <c r="Z1228" s="420"/>
      <c r="AA1228" s="420"/>
      <c r="AB1228" s="420"/>
      <c r="AC1228" s="420"/>
      <c r="AD1228" s="420"/>
      <c r="AE1228" s="420"/>
      <c r="AF1228" s="420"/>
      <c r="AG1228" s="420"/>
      <c r="AH1228" s="420"/>
      <c r="AI1228" s="420"/>
      <c r="AJ1228" s="420"/>
      <c r="AK1228" s="420"/>
      <c r="AL1228" s="420"/>
      <c r="AM1228" s="420"/>
      <c r="AN1228" s="420"/>
      <c r="AO1228" s="420"/>
      <c r="AP1228" s="420"/>
      <c r="AQ1228" s="420"/>
      <c r="AR1228" s="420"/>
      <c r="AS1228" s="420"/>
      <c r="AT1228" s="420"/>
      <c r="AU1228" s="420"/>
      <c r="AV1228" s="420"/>
      <c r="AW1228" s="420"/>
      <c r="AX1228" s="420"/>
      <c r="AY1228" s="420"/>
      <c r="AZ1228" s="420"/>
      <c r="BA1228" s="420"/>
      <c r="BB1228" s="420"/>
      <c r="BC1228" s="420"/>
      <c r="BD1228" s="420"/>
      <c r="BE1228" s="420"/>
      <c r="BF1228" s="420"/>
      <c r="BG1228" s="420"/>
      <c r="BH1228" s="420"/>
      <c r="BI1228" s="420"/>
      <c r="BJ1228" s="420"/>
      <c r="BK1228" s="420"/>
      <c r="BL1228" s="420"/>
      <c r="BM1228" s="420"/>
      <c r="BN1228" s="420"/>
      <c r="BO1228" s="420"/>
      <c r="BP1228" s="420"/>
      <c r="BQ1228" s="420"/>
      <c r="BR1228" s="420"/>
      <c r="BS1228" s="420"/>
      <c r="BT1228" s="420"/>
      <c r="BU1228" s="420"/>
      <c r="BV1228" s="420"/>
      <c r="BW1228" s="420"/>
      <c r="BX1228" s="420"/>
      <c r="BY1228" s="420"/>
      <c r="BZ1228" s="420"/>
      <c r="CA1228" s="420"/>
      <c r="CB1228" s="420"/>
      <c r="CC1228" s="420"/>
      <c r="CD1228" s="420"/>
      <c r="CE1228" s="420"/>
      <c r="CF1228" s="420"/>
      <c r="CG1228" s="420"/>
      <c r="CH1228" s="420"/>
      <c r="CI1228" s="420"/>
      <c r="CJ1228" s="420"/>
      <c r="CK1228" s="420"/>
      <c r="CL1228" s="420"/>
      <c r="CM1228" s="420"/>
      <c r="CN1228" s="420"/>
      <c r="CO1228" s="420"/>
      <c r="CP1228" s="420"/>
      <c r="CQ1228" s="420"/>
      <c r="CR1228" s="420"/>
      <c r="CS1228" s="420"/>
      <c r="CT1228" s="420"/>
      <c r="CU1228" s="420"/>
      <c r="CV1228" s="420"/>
      <c r="CW1228" s="420"/>
      <c r="CX1228" s="420"/>
      <c r="CY1228" s="420"/>
      <c r="CZ1228" s="420"/>
      <c r="DA1228" s="420"/>
      <c r="DB1228" s="420"/>
      <c r="DC1228" s="420"/>
      <c r="DD1228" s="420"/>
      <c r="DE1228" s="420"/>
      <c r="DF1228" s="420"/>
      <c r="DG1228" s="420"/>
      <c r="DH1228" s="420"/>
      <c r="DI1228" s="420"/>
      <c r="DJ1228" s="420"/>
      <c r="DK1228" s="420"/>
      <c r="DL1228" s="420"/>
      <c r="DM1228" s="420"/>
      <c r="DN1228" s="420"/>
      <c r="DO1228" s="420"/>
      <c r="DP1228" s="420"/>
      <c r="DQ1228" s="420"/>
      <c r="DR1228" s="420"/>
      <c r="DS1228" s="420"/>
      <c r="DT1228" s="420"/>
      <c r="DU1228" s="420"/>
      <c r="DV1228" s="420"/>
      <c r="DW1228" s="420"/>
      <c r="DX1228" s="420"/>
      <c r="DY1228" s="420"/>
      <c r="DZ1228" s="420"/>
      <c r="EA1228" s="420"/>
      <c r="EB1228" s="420"/>
      <c r="EC1228" s="420"/>
      <c r="ED1228" s="420"/>
      <c r="EE1228" s="420"/>
      <c r="EF1228" s="420"/>
      <c r="EG1228" s="420"/>
      <c r="EH1228" s="420"/>
      <c r="EI1228" s="420"/>
      <c r="EJ1228" s="420"/>
      <c r="EK1228" s="420"/>
      <c r="EL1228" s="420"/>
      <c r="EM1228" s="420"/>
      <c r="EN1228" s="420"/>
      <c r="EO1228" s="420"/>
      <c r="EP1228" s="420"/>
      <c r="EQ1228" s="420"/>
      <c r="ER1228" s="420"/>
      <c r="ES1228" s="420"/>
      <c r="ET1228" s="420"/>
      <c r="EU1228" s="420"/>
      <c r="EV1228" s="420"/>
      <c r="EW1228" s="420"/>
      <c r="EX1228" s="420"/>
      <c r="EY1228" s="420"/>
      <c r="EZ1228" s="420"/>
      <c r="FA1228" s="420"/>
      <c r="FB1228" s="420"/>
      <c r="FC1228" s="420"/>
      <c r="FD1228" s="420"/>
      <c r="FE1228" s="420"/>
      <c r="FF1228" s="420"/>
      <c r="FG1228" s="420"/>
      <c r="FH1228" s="420"/>
      <c r="FI1228" s="420"/>
      <c r="FJ1228" s="420"/>
      <c r="FK1228" s="420"/>
      <c r="FL1228" s="420"/>
      <c r="FM1228" s="420"/>
      <c r="FN1228" s="420"/>
      <c r="FO1228" s="420"/>
      <c r="FP1228" s="420"/>
      <c r="FQ1228" s="420"/>
      <c r="FR1228" s="420"/>
      <c r="FS1228" s="420"/>
      <c r="FT1228" s="420"/>
      <c r="FU1228" s="420"/>
      <c r="FV1228" s="420"/>
      <c r="FW1228" s="420"/>
      <c r="FX1228" s="420"/>
      <c r="FY1228" s="420"/>
    </row>
    <row r="1229" spans="1:181" s="421" customFormat="1" ht="19.5" customHeight="1">
      <c r="A1229" s="918"/>
      <c r="B1229" s="919" t="s">
        <v>855</v>
      </c>
      <c r="C1229" s="920"/>
      <c r="D1229" s="921"/>
      <c r="E1229" s="922"/>
      <c r="F1229" s="923"/>
      <c r="G1229" s="420"/>
      <c r="H1229" s="420"/>
      <c r="I1229" s="420"/>
      <c r="J1229" s="420"/>
      <c r="K1229" s="420"/>
      <c r="L1229" s="420"/>
      <c r="M1229" s="420"/>
      <c r="N1229" s="646"/>
      <c r="O1229" s="646"/>
      <c r="P1229" s="420"/>
      <c r="Q1229" s="420"/>
      <c r="R1229" s="420"/>
      <c r="S1229" s="420"/>
      <c r="T1229" s="420"/>
      <c r="U1229" s="420"/>
      <c r="V1229" s="420"/>
      <c r="W1229" s="420"/>
      <c r="X1229" s="420"/>
      <c r="Y1229" s="420"/>
      <c r="Z1229" s="420"/>
      <c r="AA1229" s="420"/>
      <c r="AB1229" s="420"/>
      <c r="AC1229" s="420"/>
      <c r="AD1229" s="420"/>
      <c r="AE1229" s="420"/>
      <c r="AF1229" s="420"/>
      <c r="AG1229" s="420"/>
      <c r="AH1229" s="420"/>
      <c r="AI1229" s="420"/>
      <c r="AJ1229" s="420"/>
      <c r="AK1229" s="420"/>
      <c r="AL1229" s="420"/>
      <c r="AM1229" s="420"/>
      <c r="AN1229" s="420"/>
      <c r="AO1229" s="420"/>
      <c r="AP1229" s="420"/>
      <c r="AQ1229" s="420"/>
      <c r="AR1229" s="420"/>
      <c r="AS1229" s="420"/>
      <c r="AT1229" s="420"/>
      <c r="AU1229" s="420"/>
      <c r="AV1229" s="420"/>
      <c r="AW1229" s="420"/>
      <c r="AX1229" s="420"/>
      <c r="AY1229" s="420"/>
      <c r="AZ1229" s="420"/>
      <c r="BA1229" s="420"/>
      <c r="BB1229" s="420"/>
      <c r="BC1229" s="420"/>
      <c r="BD1229" s="420"/>
      <c r="BE1229" s="420"/>
      <c r="BF1229" s="420"/>
      <c r="BG1229" s="420"/>
      <c r="BH1229" s="420"/>
      <c r="BI1229" s="420"/>
      <c r="BJ1229" s="420"/>
      <c r="BK1229" s="420"/>
      <c r="BL1229" s="420"/>
      <c r="BM1229" s="420"/>
      <c r="BN1229" s="420"/>
      <c r="BO1229" s="420"/>
      <c r="BP1229" s="420"/>
      <c r="BQ1229" s="420"/>
      <c r="BR1229" s="420"/>
      <c r="BS1229" s="420"/>
      <c r="BT1229" s="420"/>
      <c r="BU1229" s="420"/>
      <c r="BV1229" s="420"/>
      <c r="BW1229" s="420"/>
      <c r="BX1229" s="420"/>
      <c r="BY1229" s="420"/>
      <c r="BZ1229" s="420"/>
      <c r="CA1229" s="420"/>
      <c r="CB1229" s="420"/>
      <c r="CC1229" s="420"/>
      <c r="CD1229" s="420"/>
      <c r="CE1229" s="420"/>
      <c r="CF1229" s="420"/>
      <c r="CG1229" s="420"/>
      <c r="CH1229" s="420"/>
      <c r="CI1229" s="420"/>
      <c r="CJ1229" s="420"/>
      <c r="CK1229" s="420"/>
      <c r="CL1229" s="420"/>
      <c r="CM1229" s="420"/>
      <c r="CN1229" s="420"/>
      <c r="CO1229" s="420"/>
      <c r="CP1229" s="420"/>
      <c r="CQ1229" s="420"/>
      <c r="CR1229" s="420"/>
      <c r="CS1229" s="420"/>
      <c r="CT1229" s="420"/>
      <c r="CU1229" s="420"/>
      <c r="CV1229" s="420"/>
      <c r="CW1229" s="420"/>
      <c r="CX1229" s="420"/>
      <c r="CY1229" s="420"/>
      <c r="CZ1229" s="420"/>
      <c r="DA1229" s="420"/>
      <c r="DB1229" s="420"/>
      <c r="DC1229" s="420"/>
      <c r="DD1229" s="420"/>
      <c r="DE1229" s="420"/>
      <c r="DF1229" s="420"/>
      <c r="DG1229" s="420"/>
      <c r="DH1229" s="420"/>
      <c r="DI1229" s="420"/>
      <c r="DJ1229" s="420"/>
      <c r="DK1229" s="420"/>
      <c r="DL1229" s="420"/>
      <c r="DM1229" s="420"/>
      <c r="DN1229" s="420"/>
      <c r="DO1229" s="420"/>
      <c r="DP1229" s="420"/>
      <c r="DQ1229" s="420"/>
      <c r="DR1229" s="420"/>
      <c r="DS1229" s="420"/>
      <c r="DT1229" s="420"/>
      <c r="DU1229" s="420"/>
      <c r="DV1229" s="420"/>
      <c r="DW1229" s="420"/>
      <c r="DX1229" s="420"/>
      <c r="DY1229" s="420"/>
      <c r="DZ1229" s="420"/>
      <c r="EA1229" s="420"/>
      <c r="EB1229" s="420"/>
      <c r="EC1229" s="420"/>
      <c r="ED1229" s="420"/>
      <c r="EE1229" s="420"/>
      <c r="EF1229" s="420"/>
      <c r="EG1229" s="420"/>
      <c r="EH1229" s="420"/>
      <c r="EI1229" s="420"/>
      <c r="EJ1229" s="420"/>
      <c r="EK1229" s="420"/>
      <c r="EL1229" s="420"/>
      <c r="EM1229" s="420"/>
      <c r="EN1229" s="420"/>
      <c r="EO1229" s="420"/>
      <c r="EP1229" s="420"/>
      <c r="EQ1229" s="420"/>
      <c r="ER1229" s="420"/>
      <c r="ES1229" s="420"/>
      <c r="ET1229" s="420"/>
      <c r="EU1229" s="420"/>
      <c r="EV1229" s="420"/>
      <c r="EW1229" s="420"/>
      <c r="EX1229" s="420"/>
      <c r="EY1229" s="420"/>
      <c r="EZ1229" s="420"/>
      <c r="FA1229" s="420"/>
      <c r="FB1229" s="420"/>
      <c r="FC1229" s="420"/>
      <c r="FD1229" s="420"/>
      <c r="FE1229" s="420"/>
      <c r="FF1229" s="420"/>
      <c r="FG1229" s="420"/>
      <c r="FH1229" s="420"/>
      <c r="FI1229" s="420"/>
      <c r="FJ1229" s="420"/>
      <c r="FK1229" s="420"/>
      <c r="FL1229" s="420"/>
      <c r="FM1229" s="420"/>
      <c r="FN1229" s="420"/>
      <c r="FO1229" s="420"/>
      <c r="FP1229" s="420"/>
      <c r="FQ1229" s="420"/>
      <c r="FR1229" s="420"/>
      <c r="FS1229" s="420"/>
      <c r="FT1229" s="420"/>
      <c r="FU1229" s="420"/>
      <c r="FV1229" s="420"/>
      <c r="FW1229" s="420"/>
      <c r="FX1229" s="420"/>
      <c r="FY1229" s="420"/>
    </row>
    <row r="1230" spans="1:181" s="421" customFormat="1" ht="25.5">
      <c r="A1230" s="918" t="s">
        <v>856</v>
      </c>
      <c r="B1230" s="919" t="s">
        <v>857</v>
      </c>
      <c r="C1230" s="920" t="s">
        <v>47</v>
      </c>
      <c r="D1230" s="921">
        <v>1</v>
      </c>
      <c r="E1230" s="922"/>
      <c r="F1230" s="380">
        <f>D1230*E1230</f>
        <v>0</v>
      </c>
      <c r="G1230" s="420"/>
      <c r="H1230" s="420"/>
      <c r="I1230" s="420"/>
      <c r="J1230" s="420"/>
      <c r="K1230" s="420"/>
      <c r="L1230" s="420"/>
      <c r="M1230" s="420"/>
      <c r="N1230" s="640">
        <f>E1230*1.2</f>
        <v>0</v>
      </c>
      <c r="O1230" s="640">
        <f>N1230*D1230</f>
        <v>0</v>
      </c>
      <c r="P1230" s="420"/>
      <c r="Q1230" s="420"/>
      <c r="R1230" s="420"/>
      <c r="S1230" s="420"/>
      <c r="T1230" s="420"/>
      <c r="U1230" s="420"/>
      <c r="V1230" s="420"/>
      <c r="W1230" s="420"/>
      <c r="X1230" s="420"/>
      <c r="Y1230" s="420"/>
      <c r="Z1230" s="420"/>
      <c r="AA1230" s="420"/>
      <c r="AB1230" s="420"/>
      <c r="AC1230" s="420"/>
      <c r="AD1230" s="420"/>
      <c r="AE1230" s="420"/>
      <c r="AF1230" s="420"/>
      <c r="AG1230" s="420"/>
      <c r="AH1230" s="420"/>
      <c r="AI1230" s="420"/>
      <c r="AJ1230" s="420"/>
      <c r="AK1230" s="420"/>
      <c r="AL1230" s="420"/>
      <c r="AM1230" s="420"/>
      <c r="AN1230" s="420"/>
      <c r="AO1230" s="420"/>
      <c r="AP1230" s="420"/>
      <c r="AQ1230" s="420"/>
      <c r="AR1230" s="420"/>
      <c r="AS1230" s="420"/>
      <c r="AT1230" s="420"/>
      <c r="AU1230" s="420"/>
      <c r="AV1230" s="420"/>
      <c r="AW1230" s="420"/>
      <c r="AX1230" s="420"/>
      <c r="AY1230" s="420"/>
      <c r="AZ1230" s="420"/>
      <c r="BA1230" s="420"/>
      <c r="BB1230" s="420"/>
      <c r="BC1230" s="420"/>
      <c r="BD1230" s="420"/>
      <c r="BE1230" s="420"/>
      <c r="BF1230" s="420"/>
      <c r="BG1230" s="420"/>
      <c r="BH1230" s="420"/>
      <c r="BI1230" s="420"/>
      <c r="BJ1230" s="420"/>
      <c r="BK1230" s="420"/>
      <c r="BL1230" s="420"/>
      <c r="BM1230" s="420"/>
      <c r="BN1230" s="420"/>
      <c r="BO1230" s="420"/>
      <c r="BP1230" s="420"/>
      <c r="BQ1230" s="420"/>
      <c r="BR1230" s="420"/>
      <c r="BS1230" s="420"/>
      <c r="BT1230" s="420"/>
      <c r="BU1230" s="420"/>
      <c r="BV1230" s="420"/>
      <c r="BW1230" s="420"/>
      <c r="BX1230" s="420"/>
      <c r="BY1230" s="420"/>
      <c r="BZ1230" s="420"/>
      <c r="CA1230" s="420"/>
      <c r="CB1230" s="420"/>
      <c r="CC1230" s="420"/>
      <c r="CD1230" s="420"/>
      <c r="CE1230" s="420"/>
      <c r="CF1230" s="420"/>
      <c r="CG1230" s="420"/>
      <c r="CH1230" s="420"/>
      <c r="CI1230" s="420"/>
      <c r="CJ1230" s="420"/>
      <c r="CK1230" s="420"/>
      <c r="CL1230" s="420"/>
      <c r="CM1230" s="420"/>
      <c r="CN1230" s="420"/>
      <c r="CO1230" s="420"/>
      <c r="CP1230" s="420"/>
      <c r="CQ1230" s="420"/>
      <c r="CR1230" s="420"/>
      <c r="CS1230" s="420"/>
      <c r="CT1230" s="420"/>
      <c r="CU1230" s="420"/>
      <c r="CV1230" s="420"/>
      <c r="CW1230" s="420"/>
      <c r="CX1230" s="420"/>
      <c r="CY1230" s="420"/>
      <c r="CZ1230" s="420"/>
      <c r="DA1230" s="420"/>
      <c r="DB1230" s="420"/>
      <c r="DC1230" s="420"/>
      <c r="DD1230" s="420"/>
      <c r="DE1230" s="420"/>
      <c r="DF1230" s="420"/>
      <c r="DG1230" s="420"/>
      <c r="DH1230" s="420"/>
      <c r="DI1230" s="420"/>
      <c r="DJ1230" s="420"/>
      <c r="DK1230" s="420"/>
      <c r="DL1230" s="420"/>
      <c r="DM1230" s="420"/>
      <c r="DN1230" s="420"/>
      <c r="DO1230" s="420"/>
      <c r="DP1230" s="420"/>
      <c r="DQ1230" s="420"/>
      <c r="DR1230" s="420"/>
      <c r="DS1230" s="420"/>
      <c r="DT1230" s="420"/>
      <c r="DU1230" s="420"/>
      <c r="DV1230" s="420"/>
      <c r="DW1230" s="420"/>
      <c r="DX1230" s="420"/>
      <c r="DY1230" s="420"/>
      <c r="DZ1230" s="420"/>
      <c r="EA1230" s="420"/>
      <c r="EB1230" s="420"/>
      <c r="EC1230" s="420"/>
      <c r="ED1230" s="420"/>
      <c r="EE1230" s="420"/>
      <c r="EF1230" s="420"/>
      <c r="EG1230" s="420"/>
      <c r="EH1230" s="420"/>
      <c r="EI1230" s="420"/>
      <c r="EJ1230" s="420"/>
      <c r="EK1230" s="420"/>
      <c r="EL1230" s="420"/>
      <c r="EM1230" s="420"/>
      <c r="EN1230" s="420"/>
      <c r="EO1230" s="420"/>
      <c r="EP1230" s="420"/>
      <c r="EQ1230" s="420"/>
      <c r="ER1230" s="420"/>
      <c r="ES1230" s="420"/>
      <c r="ET1230" s="420"/>
      <c r="EU1230" s="420"/>
      <c r="EV1230" s="420"/>
      <c r="EW1230" s="420"/>
      <c r="EX1230" s="420"/>
      <c r="EY1230" s="420"/>
      <c r="EZ1230" s="420"/>
      <c r="FA1230" s="420"/>
      <c r="FB1230" s="420"/>
      <c r="FC1230" s="420"/>
      <c r="FD1230" s="420"/>
      <c r="FE1230" s="420"/>
      <c r="FF1230" s="420"/>
      <c r="FG1230" s="420"/>
      <c r="FH1230" s="420"/>
      <c r="FI1230" s="420"/>
      <c r="FJ1230" s="420"/>
      <c r="FK1230" s="420"/>
      <c r="FL1230" s="420"/>
      <c r="FM1230" s="420"/>
      <c r="FN1230" s="420"/>
      <c r="FO1230" s="420"/>
      <c r="FP1230" s="420"/>
      <c r="FQ1230" s="420"/>
      <c r="FR1230" s="420"/>
      <c r="FS1230" s="420"/>
      <c r="FT1230" s="420"/>
      <c r="FU1230" s="420"/>
      <c r="FV1230" s="420"/>
      <c r="FW1230" s="420"/>
      <c r="FX1230" s="420"/>
      <c r="FY1230" s="420"/>
    </row>
    <row r="1231" spans="1:181" s="421" customFormat="1" ht="19.5" customHeight="1">
      <c r="A1231" s="918"/>
      <c r="B1231" s="919"/>
      <c r="C1231" s="920"/>
      <c r="D1231" s="921"/>
      <c r="E1231" s="922"/>
      <c r="F1231" s="923"/>
      <c r="G1231" s="420"/>
      <c r="H1231" s="420"/>
      <c r="I1231" s="420"/>
      <c r="J1231" s="420"/>
      <c r="K1231" s="420"/>
      <c r="L1231" s="420"/>
      <c r="M1231" s="420"/>
      <c r="N1231" s="646"/>
      <c r="O1231" s="646"/>
      <c r="P1231" s="420"/>
      <c r="Q1231" s="420"/>
      <c r="R1231" s="420"/>
      <c r="S1231" s="420"/>
      <c r="T1231" s="420"/>
      <c r="U1231" s="420"/>
      <c r="V1231" s="420"/>
      <c r="W1231" s="420"/>
      <c r="X1231" s="420"/>
      <c r="Y1231" s="420"/>
      <c r="Z1231" s="420"/>
      <c r="AA1231" s="420"/>
      <c r="AB1231" s="420"/>
      <c r="AC1231" s="420"/>
      <c r="AD1231" s="420"/>
      <c r="AE1231" s="420"/>
      <c r="AF1231" s="420"/>
      <c r="AG1231" s="420"/>
      <c r="AH1231" s="420"/>
      <c r="AI1231" s="420"/>
      <c r="AJ1231" s="420"/>
      <c r="AK1231" s="420"/>
      <c r="AL1231" s="420"/>
      <c r="AM1231" s="420"/>
      <c r="AN1231" s="420"/>
      <c r="AO1231" s="420"/>
      <c r="AP1231" s="420"/>
      <c r="AQ1231" s="420"/>
      <c r="AR1231" s="420"/>
      <c r="AS1231" s="420"/>
      <c r="AT1231" s="420"/>
      <c r="AU1231" s="420"/>
      <c r="AV1231" s="420"/>
      <c r="AW1231" s="420"/>
      <c r="AX1231" s="420"/>
      <c r="AY1231" s="420"/>
      <c r="AZ1231" s="420"/>
      <c r="BA1231" s="420"/>
      <c r="BB1231" s="420"/>
      <c r="BC1231" s="420"/>
      <c r="BD1231" s="420"/>
      <c r="BE1231" s="420"/>
      <c r="BF1231" s="420"/>
      <c r="BG1231" s="420"/>
      <c r="BH1231" s="420"/>
      <c r="BI1231" s="420"/>
      <c r="BJ1231" s="420"/>
      <c r="BK1231" s="420"/>
      <c r="BL1231" s="420"/>
      <c r="BM1231" s="420"/>
      <c r="BN1231" s="420"/>
      <c r="BO1231" s="420"/>
      <c r="BP1231" s="420"/>
      <c r="BQ1231" s="420"/>
      <c r="BR1231" s="420"/>
      <c r="BS1231" s="420"/>
      <c r="BT1231" s="420"/>
      <c r="BU1231" s="420"/>
      <c r="BV1231" s="420"/>
      <c r="BW1231" s="420"/>
      <c r="BX1231" s="420"/>
      <c r="BY1231" s="420"/>
      <c r="BZ1231" s="420"/>
      <c r="CA1231" s="420"/>
      <c r="CB1231" s="420"/>
      <c r="CC1231" s="420"/>
      <c r="CD1231" s="420"/>
      <c r="CE1231" s="420"/>
      <c r="CF1231" s="420"/>
      <c r="CG1231" s="420"/>
      <c r="CH1231" s="420"/>
      <c r="CI1231" s="420"/>
      <c r="CJ1231" s="420"/>
      <c r="CK1231" s="420"/>
      <c r="CL1231" s="420"/>
      <c r="CM1231" s="420"/>
      <c r="CN1231" s="420"/>
      <c r="CO1231" s="420"/>
      <c r="CP1231" s="420"/>
      <c r="CQ1231" s="420"/>
      <c r="CR1231" s="420"/>
      <c r="CS1231" s="420"/>
      <c r="CT1231" s="420"/>
      <c r="CU1231" s="420"/>
      <c r="CV1231" s="420"/>
      <c r="CW1231" s="420"/>
      <c r="CX1231" s="420"/>
      <c r="CY1231" s="420"/>
      <c r="CZ1231" s="420"/>
      <c r="DA1231" s="420"/>
      <c r="DB1231" s="420"/>
      <c r="DC1231" s="420"/>
      <c r="DD1231" s="420"/>
      <c r="DE1231" s="420"/>
      <c r="DF1231" s="420"/>
      <c r="DG1231" s="420"/>
      <c r="DH1231" s="420"/>
      <c r="DI1231" s="420"/>
      <c r="DJ1231" s="420"/>
      <c r="DK1231" s="420"/>
      <c r="DL1231" s="420"/>
      <c r="DM1231" s="420"/>
      <c r="DN1231" s="420"/>
      <c r="DO1231" s="420"/>
      <c r="DP1231" s="420"/>
      <c r="DQ1231" s="420"/>
      <c r="DR1231" s="420"/>
      <c r="DS1231" s="420"/>
      <c r="DT1231" s="420"/>
      <c r="DU1231" s="420"/>
      <c r="DV1231" s="420"/>
      <c r="DW1231" s="420"/>
      <c r="DX1231" s="420"/>
      <c r="DY1231" s="420"/>
      <c r="DZ1231" s="420"/>
      <c r="EA1231" s="420"/>
      <c r="EB1231" s="420"/>
      <c r="EC1231" s="420"/>
      <c r="ED1231" s="420"/>
      <c r="EE1231" s="420"/>
      <c r="EF1231" s="420"/>
      <c r="EG1231" s="420"/>
      <c r="EH1231" s="420"/>
      <c r="EI1231" s="420"/>
      <c r="EJ1231" s="420"/>
      <c r="EK1231" s="420"/>
      <c r="EL1231" s="420"/>
      <c r="EM1231" s="420"/>
      <c r="EN1231" s="420"/>
      <c r="EO1231" s="420"/>
      <c r="EP1231" s="420"/>
      <c r="EQ1231" s="420"/>
      <c r="ER1231" s="420"/>
      <c r="ES1231" s="420"/>
      <c r="ET1231" s="420"/>
      <c r="EU1231" s="420"/>
      <c r="EV1231" s="420"/>
      <c r="EW1231" s="420"/>
      <c r="EX1231" s="420"/>
      <c r="EY1231" s="420"/>
      <c r="EZ1231" s="420"/>
      <c r="FA1231" s="420"/>
      <c r="FB1231" s="420"/>
      <c r="FC1231" s="420"/>
      <c r="FD1231" s="420"/>
      <c r="FE1231" s="420"/>
      <c r="FF1231" s="420"/>
      <c r="FG1231" s="420"/>
      <c r="FH1231" s="420"/>
      <c r="FI1231" s="420"/>
      <c r="FJ1231" s="420"/>
      <c r="FK1231" s="420"/>
      <c r="FL1231" s="420"/>
      <c r="FM1231" s="420"/>
      <c r="FN1231" s="420"/>
      <c r="FO1231" s="420"/>
      <c r="FP1231" s="420"/>
      <c r="FQ1231" s="420"/>
      <c r="FR1231" s="420"/>
      <c r="FS1231" s="420"/>
      <c r="FT1231" s="420"/>
      <c r="FU1231" s="420"/>
      <c r="FV1231" s="420"/>
      <c r="FW1231" s="420"/>
      <c r="FX1231" s="420"/>
      <c r="FY1231" s="420"/>
    </row>
    <row r="1232" spans="1:181" s="421" customFormat="1" ht="19.5" customHeight="1">
      <c r="A1232" s="918"/>
      <c r="B1232" s="919" t="s">
        <v>858</v>
      </c>
      <c r="C1232" s="920"/>
      <c r="D1232" s="921"/>
      <c r="E1232" s="922"/>
      <c r="F1232" s="923"/>
      <c r="G1232" s="420"/>
      <c r="H1232" s="420"/>
      <c r="I1232" s="420"/>
      <c r="J1232" s="420"/>
      <c r="K1232" s="420"/>
      <c r="L1232" s="420"/>
      <c r="M1232" s="420"/>
      <c r="N1232" s="646"/>
      <c r="O1232" s="646"/>
      <c r="P1232" s="420"/>
      <c r="Q1232" s="420"/>
      <c r="R1232" s="420"/>
      <c r="S1232" s="420"/>
      <c r="T1232" s="420"/>
      <c r="U1232" s="420"/>
      <c r="V1232" s="420"/>
      <c r="W1232" s="420"/>
      <c r="X1232" s="420"/>
      <c r="Y1232" s="420"/>
      <c r="Z1232" s="420"/>
      <c r="AA1232" s="420"/>
      <c r="AB1232" s="420"/>
      <c r="AC1232" s="420"/>
      <c r="AD1232" s="420"/>
      <c r="AE1232" s="420"/>
      <c r="AF1232" s="420"/>
      <c r="AG1232" s="420"/>
      <c r="AH1232" s="420"/>
      <c r="AI1232" s="420"/>
      <c r="AJ1232" s="420"/>
      <c r="AK1232" s="420"/>
      <c r="AL1232" s="420"/>
      <c r="AM1232" s="420"/>
      <c r="AN1232" s="420"/>
      <c r="AO1232" s="420"/>
      <c r="AP1232" s="420"/>
      <c r="AQ1232" s="420"/>
      <c r="AR1232" s="420"/>
      <c r="AS1232" s="420"/>
      <c r="AT1232" s="420"/>
      <c r="AU1232" s="420"/>
      <c r="AV1232" s="420"/>
      <c r="AW1232" s="420"/>
      <c r="AX1232" s="420"/>
      <c r="AY1232" s="420"/>
      <c r="AZ1232" s="420"/>
      <c r="BA1232" s="420"/>
      <c r="BB1232" s="420"/>
      <c r="BC1232" s="420"/>
      <c r="BD1232" s="420"/>
      <c r="BE1232" s="420"/>
      <c r="BF1232" s="420"/>
      <c r="BG1232" s="420"/>
      <c r="BH1232" s="420"/>
      <c r="BI1232" s="420"/>
      <c r="BJ1232" s="420"/>
      <c r="BK1232" s="420"/>
      <c r="BL1232" s="420"/>
      <c r="BM1232" s="420"/>
      <c r="BN1232" s="420"/>
      <c r="BO1232" s="420"/>
      <c r="BP1232" s="420"/>
      <c r="BQ1232" s="420"/>
      <c r="BR1232" s="420"/>
      <c r="BS1232" s="420"/>
      <c r="BT1232" s="420"/>
      <c r="BU1232" s="420"/>
      <c r="BV1232" s="420"/>
      <c r="BW1232" s="420"/>
      <c r="BX1232" s="420"/>
      <c r="BY1232" s="420"/>
      <c r="BZ1232" s="420"/>
      <c r="CA1232" s="420"/>
      <c r="CB1232" s="420"/>
      <c r="CC1232" s="420"/>
      <c r="CD1232" s="420"/>
      <c r="CE1232" s="420"/>
      <c r="CF1232" s="420"/>
      <c r="CG1232" s="420"/>
      <c r="CH1232" s="420"/>
      <c r="CI1232" s="420"/>
      <c r="CJ1232" s="420"/>
      <c r="CK1232" s="420"/>
      <c r="CL1232" s="420"/>
      <c r="CM1232" s="420"/>
      <c r="CN1232" s="420"/>
      <c r="CO1232" s="420"/>
      <c r="CP1232" s="420"/>
      <c r="CQ1232" s="420"/>
      <c r="CR1232" s="420"/>
      <c r="CS1232" s="420"/>
      <c r="CT1232" s="420"/>
      <c r="CU1232" s="420"/>
      <c r="CV1232" s="420"/>
      <c r="CW1232" s="420"/>
      <c r="CX1232" s="420"/>
      <c r="CY1232" s="420"/>
      <c r="CZ1232" s="420"/>
      <c r="DA1232" s="420"/>
      <c r="DB1232" s="420"/>
      <c r="DC1232" s="420"/>
      <c r="DD1232" s="420"/>
      <c r="DE1232" s="420"/>
      <c r="DF1232" s="420"/>
      <c r="DG1232" s="420"/>
      <c r="DH1232" s="420"/>
      <c r="DI1232" s="420"/>
      <c r="DJ1232" s="420"/>
      <c r="DK1232" s="420"/>
      <c r="DL1232" s="420"/>
      <c r="DM1232" s="420"/>
      <c r="DN1232" s="420"/>
      <c r="DO1232" s="420"/>
      <c r="DP1232" s="420"/>
      <c r="DQ1232" s="420"/>
      <c r="DR1232" s="420"/>
      <c r="DS1232" s="420"/>
      <c r="DT1232" s="420"/>
      <c r="DU1232" s="420"/>
      <c r="DV1232" s="420"/>
      <c r="DW1232" s="420"/>
      <c r="DX1232" s="420"/>
      <c r="DY1232" s="420"/>
      <c r="DZ1232" s="420"/>
      <c r="EA1232" s="420"/>
      <c r="EB1232" s="420"/>
      <c r="EC1232" s="420"/>
      <c r="ED1232" s="420"/>
      <c r="EE1232" s="420"/>
      <c r="EF1232" s="420"/>
      <c r="EG1232" s="420"/>
      <c r="EH1232" s="420"/>
      <c r="EI1232" s="420"/>
      <c r="EJ1232" s="420"/>
      <c r="EK1232" s="420"/>
      <c r="EL1232" s="420"/>
      <c r="EM1232" s="420"/>
      <c r="EN1232" s="420"/>
      <c r="EO1232" s="420"/>
      <c r="EP1232" s="420"/>
      <c r="EQ1232" s="420"/>
      <c r="ER1232" s="420"/>
      <c r="ES1232" s="420"/>
      <c r="ET1232" s="420"/>
      <c r="EU1232" s="420"/>
      <c r="EV1232" s="420"/>
      <c r="EW1232" s="420"/>
      <c r="EX1232" s="420"/>
      <c r="EY1232" s="420"/>
      <c r="EZ1232" s="420"/>
      <c r="FA1232" s="420"/>
      <c r="FB1232" s="420"/>
      <c r="FC1232" s="420"/>
      <c r="FD1232" s="420"/>
      <c r="FE1232" s="420"/>
      <c r="FF1232" s="420"/>
      <c r="FG1232" s="420"/>
      <c r="FH1232" s="420"/>
      <c r="FI1232" s="420"/>
      <c r="FJ1232" s="420"/>
      <c r="FK1232" s="420"/>
      <c r="FL1232" s="420"/>
      <c r="FM1232" s="420"/>
      <c r="FN1232" s="420"/>
      <c r="FO1232" s="420"/>
      <c r="FP1232" s="420"/>
      <c r="FQ1232" s="420"/>
      <c r="FR1232" s="420"/>
      <c r="FS1232" s="420"/>
      <c r="FT1232" s="420"/>
      <c r="FU1232" s="420"/>
      <c r="FV1232" s="420"/>
      <c r="FW1232" s="420"/>
      <c r="FX1232" s="420"/>
      <c r="FY1232" s="420"/>
    </row>
    <row r="1233" spans="1:181" s="421" customFormat="1" ht="32.25" customHeight="1">
      <c r="A1233" s="918" t="s">
        <v>859</v>
      </c>
      <c r="B1233" s="919" t="s">
        <v>860</v>
      </c>
      <c r="C1233" s="920" t="s">
        <v>47</v>
      </c>
      <c r="D1233" s="921">
        <v>1</v>
      </c>
      <c r="E1233" s="922"/>
      <c r="F1233" s="380">
        <f>D1233*E1233</f>
        <v>0</v>
      </c>
      <c r="G1233" s="420"/>
      <c r="H1233" s="420"/>
      <c r="I1233" s="420"/>
      <c r="J1233" s="420"/>
      <c r="K1233" s="420"/>
      <c r="L1233" s="420"/>
      <c r="M1233" s="420"/>
      <c r="N1233" s="640">
        <f>E1233*1.2</f>
        <v>0</v>
      </c>
      <c r="O1233" s="640">
        <f>N1233*D1233</f>
        <v>0</v>
      </c>
      <c r="P1233" s="420"/>
      <c r="Q1233" s="420"/>
      <c r="R1233" s="420"/>
      <c r="S1233" s="420"/>
      <c r="T1233" s="420"/>
      <c r="U1233" s="420"/>
      <c r="V1233" s="420"/>
      <c r="W1233" s="420"/>
      <c r="X1233" s="420"/>
      <c r="Y1233" s="420"/>
      <c r="Z1233" s="420"/>
      <c r="AA1233" s="420"/>
      <c r="AB1233" s="420"/>
      <c r="AC1233" s="420"/>
      <c r="AD1233" s="420"/>
      <c r="AE1233" s="420"/>
      <c r="AF1233" s="420"/>
      <c r="AG1233" s="420"/>
      <c r="AH1233" s="420"/>
      <c r="AI1233" s="420"/>
      <c r="AJ1233" s="420"/>
      <c r="AK1233" s="420"/>
      <c r="AL1233" s="420"/>
      <c r="AM1233" s="420"/>
      <c r="AN1233" s="420"/>
      <c r="AO1233" s="420"/>
      <c r="AP1233" s="420"/>
      <c r="AQ1233" s="420"/>
      <c r="AR1233" s="420"/>
      <c r="AS1233" s="420"/>
      <c r="AT1233" s="420"/>
      <c r="AU1233" s="420"/>
      <c r="AV1233" s="420"/>
      <c r="AW1233" s="420"/>
      <c r="AX1233" s="420"/>
      <c r="AY1233" s="420"/>
      <c r="AZ1233" s="420"/>
      <c r="BA1233" s="420"/>
      <c r="BB1233" s="420"/>
      <c r="BC1233" s="420"/>
      <c r="BD1233" s="420"/>
      <c r="BE1233" s="420"/>
      <c r="BF1233" s="420"/>
      <c r="BG1233" s="420"/>
      <c r="BH1233" s="420"/>
      <c r="BI1233" s="420"/>
      <c r="BJ1233" s="420"/>
      <c r="BK1233" s="420"/>
      <c r="BL1233" s="420"/>
      <c r="BM1233" s="420"/>
      <c r="BN1233" s="420"/>
      <c r="BO1233" s="420"/>
      <c r="BP1233" s="420"/>
      <c r="BQ1233" s="420"/>
      <c r="BR1233" s="420"/>
      <c r="BS1233" s="420"/>
      <c r="BT1233" s="420"/>
      <c r="BU1233" s="420"/>
      <c r="BV1233" s="420"/>
      <c r="BW1233" s="420"/>
      <c r="BX1233" s="420"/>
      <c r="BY1233" s="420"/>
      <c r="BZ1233" s="420"/>
      <c r="CA1233" s="420"/>
      <c r="CB1233" s="420"/>
      <c r="CC1233" s="420"/>
      <c r="CD1233" s="420"/>
      <c r="CE1233" s="420"/>
      <c r="CF1233" s="420"/>
      <c r="CG1233" s="420"/>
      <c r="CH1233" s="420"/>
      <c r="CI1233" s="420"/>
      <c r="CJ1233" s="420"/>
      <c r="CK1233" s="420"/>
      <c r="CL1233" s="420"/>
      <c r="CM1233" s="420"/>
      <c r="CN1233" s="420"/>
      <c r="CO1233" s="420"/>
      <c r="CP1233" s="420"/>
      <c r="CQ1233" s="420"/>
      <c r="CR1233" s="420"/>
      <c r="CS1233" s="420"/>
      <c r="CT1233" s="420"/>
      <c r="CU1233" s="420"/>
      <c r="CV1233" s="420"/>
      <c r="CW1233" s="420"/>
      <c r="CX1233" s="420"/>
      <c r="CY1233" s="420"/>
      <c r="CZ1233" s="420"/>
      <c r="DA1233" s="420"/>
      <c r="DB1233" s="420"/>
      <c r="DC1233" s="420"/>
      <c r="DD1233" s="420"/>
      <c r="DE1233" s="420"/>
      <c r="DF1233" s="420"/>
      <c r="DG1233" s="420"/>
      <c r="DH1233" s="420"/>
      <c r="DI1233" s="420"/>
      <c r="DJ1233" s="420"/>
      <c r="DK1233" s="420"/>
      <c r="DL1233" s="420"/>
      <c r="DM1233" s="420"/>
      <c r="DN1233" s="420"/>
      <c r="DO1233" s="420"/>
      <c r="DP1233" s="420"/>
      <c r="DQ1233" s="420"/>
      <c r="DR1233" s="420"/>
      <c r="DS1233" s="420"/>
      <c r="DT1233" s="420"/>
      <c r="DU1233" s="420"/>
      <c r="DV1233" s="420"/>
      <c r="DW1233" s="420"/>
      <c r="DX1233" s="420"/>
      <c r="DY1233" s="420"/>
      <c r="DZ1233" s="420"/>
      <c r="EA1233" s="420"/>
      <c r="EB1233" s="420"/>
      <c r="EC1233" s="420"/>
      <c r="ED1233" s="420"/>
      <c r="EE1233" s="420"/>
      <c r="EF1233" s="420"/>
      <c r="EG1233" s="420"/>
      <c r="EH1233" s="420"/>
      <c r="EI1233" s="420"/>
      <c r="EJ1233" s="420"/>
      <c r="EK1233" s="420"/>
      <c r="EL1233" s="420"/>
      <c r="EM1233" s="420"/>
      <c r="EN1233" s="420"/>
      <c r="EO1233" s="420"/>
      <c r="EP1233" s="420"/>
      <c r="EQ1233" s="420"/>
      <c r="ER1233" s="420"/>
      <c r="ES1233" s="420"/>
      <c r="ET1233" s="420"/>
      <c r="EU1233" s="420"/>
      <c r="EV1233" s="420"/>
      <c r="EW1233" s="420"/>
      <c r="EX1233" s="420"/>
      <c r="EY1233" s="420"/>
      <c r="EZ1233" s="420"/>
      <c r="FA1233" s="420"/>
      <c r="FB1233" s="420"/>
      <c r="FC1233" s="420"/>
      <c r="FD1233" s="420"/>
      <c r="FE1233" s="420"/>
      <c r="FF1233" s="420"/>
      <c r="FG1233" s="420"/>
      <c r="FH1233" s="420"/>
      <c r="FI1233" s="420"/>
      <c r="FJ1233" s="420"/>
      <c r="FK1233" s="420"/>
      <c r="FL1233" s="420"/>
      <c r="FM1233" s="420"/>
      <c r="FN1233" s="420"/>
      <c r="FO1233" s="420"/>
      <c r="FP1233" s="420"/>
      <c r="FQ1233" s="420"/>
      <c r="FR1233" s="420"/>
      <c r="FS1233" s="420"/>
      <c r="FT1233" s="420"/>
      <c r="FU1233" s="420"/>
      <c r="FV1233" s="420"/>
      <c r="FW1233" s="420"/>
      <c r="FX1233" s="420"/>
      <c r="FY1233" s="420"/>
    </row>
    <row r="1234" spans="1:181" s="421" customFormat="1" ht="12.75">
      <c r="A1234" s="918" t="s">
        <v>861</v>
      </c>
      <c r="B1234" s="919" t="s">
        <v>862</v>
      </c>
      <c r="C1234" s="920" t="s">
        <v>863</v>
      </c>
      <c r="D1234" s="921">
        <v>1</v>
      </c>
      <c r="E1234" s="922"/>
      <c r="F1234" s="380">
        <f>D1234*E1234</f>
        <v>0</v>
      </c>
      <c r="G1234" s="420"/>
      <c r="H1234" s="420"/>
      <c r="I1234" s="420"/>
      <c r="J1234" s="420"/>
      <c r="K1234" s="420"/>
      <c r="L1234" s="420"/>
      <c r="M1234" s="420"/>
      <c r="N1234" s="640">
        <f>E1234*1.2</f>
        <v>0</v>
      </c>
      <c r="O1234" s="640">
        <f>N1234*D1234</f>
        <v>0</v>
      </c>
      <c r="P1234" s="420"/>
      <c r="Q1234" s="420"/>
      <c r="R1234" s="420"/>
      <c r="S1234" s="420"/>
      <c r="T1234" s="420"/>
      <c r="U1234" s="420"/>
      <c r="V1234" s="420"/>
      <c r="W1234" s="420"/>
      <c r="X1234" s="420"/>
      <c r="Y1234" s="420"/>
      <c r="Z1234" s="420"/>
      <c r="AA1234" s="420"/>
      <c r="AB1234" s="420"/>
      <c r="AC1234" s="420"/>
      <c r="AD1234" s="420"/>
      <c r="AE1234" s="420"/>
      <c r="AF1234" s="420"/>
      <c r="AG1234" s="420"/>
      <c r="AH1234" s="420"/>
      <c r="AI1234" s="420"/>
      <c r="AJ1234" s="420"/>
      <c r="AK1234" s="420"/>
      <c r="AL1234" s="420"/>
      <c r="AM1234" s="420"/>
      <c r="AN1234" s="420"/>
      <c r="AO1234" s="420"/>
      <c r="AP1234" s="420"/>
      <c r="AQ1234" s="420"/>
      <c r="AR1234" s="420"/>
      <c r="AS1234" s="420"/>
      <c r="AT1234" s="420"/>
      <c r="AU1234" s="420"/>
      <c r="AV1234" s="420"/>
      <c r="AW1234" s="420"/>
      <c r="AX1234" s="420"/>
      <c r="AY1234" s="420"/>
      <c r="AZ1234" s="420"/>
      <c r="BA1234" s="420"/>
      <c r="BB1234" s="420"/>
      <c r="BC1234" s="420"/>
      <c r="BD1234" s="420"/>
      <c r="BE1234" s="420"/>
      <c r="BF1234" s="420"/>
      <c r="BG1234" s="420"/>
      <c r="BH1234" s="420"/>
      <c r="BI1234" s="420"/>
      <c r="BJ1234" s="420"/>
      <c r="BK1234" s="420"/>
      <c r="BL1234" s="420"/>
      <c r="BM1234" s="420"/>
      <c r="BN1234" s="420"/>
      <c r="BO1234" s="420"/>
      <c r="BP1234" s="420"/>
      <c r="BQ1234" s="420"/>
      <c r="BR1234" s="420"/>
      <c r="BS1234" s="420"/>
      <c r="BT1234" s="420"/>
      <c r="BU1234" s="420"/>
      <c r="BV1234" s="420"/>
      <c r="BW1234" s="420"/>
      <c r="BX1234" s="420"/>
      <c r="BY1234" s="420"/>
      <c r="BZ1234" s="420"/>
      <c r="CA1234" s="420"/>
      <c r="CB1234" s="420"/>
      <c r="CC1234" s="420"/>
      <c r="CD1234" s="420"/>
      <c r="CE1234" s="420"/>
      <c r="CF1234" s="420"/>
      <c r="CG1234" s="420"/>
      <c r="CH1234" s="420"/>
      <c r="CI1234" s="420"/>
      <c r="CJ1234" s="420"/>
      <c r="CK1234" s="420"/>
      <c r="CL1234" s="420"/>
      <c r="CM1234" s="420"/>
      <c r="CN1234" s="420"/>
      <c r="CO1234" s="420"/>
      <c r="CP1234" s="420"/>
      <c r="CQ1234" s="420"/>
      <c r="CR1234" s="420"/>
      <c r="CS1234" s="420"/>
      <c r="CT1234" s="420"/>
      <c r="CU1234" s="420"/>
      <c r="CV1234" s="420"/>
      <c r="CW1234" s="420"/>
      <c r="CX1234" s="420"/>
      <c r="CY1234" s="420"/>
      <c r="CZ1234" s="420"/>
      <c r="DA1234" s="420"/>
      <c r="DB1234" s="420"/>
      <c r="DC1234" s="420"/>
      <c r="DD1234" s="420"/>
      <c r="DE1234" s="420"/>
      <c r="DF1234" s="420"/>
      <c r="DG1234" s="420"/>
      <c r="DH1234" s="420"/>
      <c r="DI1234" s="420"/>
      <c r="DJ1234" s="420"/>
      <c r="DK1234" s="420"/>
      <c r="DL1234" s="420"/>
      <c r="DM1234" s="420"/>
      <c r="DN1234" s="420"/>
      <c r="DO1234" s="420"/>
      <c r="DP1234" s="420"/>
      <c r="DQ1234" s="420"/>
      <c r="DR1234" s="420"/>
      <c r="DS1234" s="420"/>
      <c r="DT1234" s="420"/>
      <c r="DU1234" s="420"/>
      <c r="DV1234" s="420"/>
      <c r="DW1234" s="420"/>
      <c r="DX1234" s="420"/>
      <c r="DY1234" s="420"/>
      <c r="DZ1234" s="420"/>
      <c r="EA1234" s="420"/>
      <c r="EB1234" s="420"/>
      <c r="EC1234" s="420"/>
      <c r="ED1234" s="420"/>
      <c r="EE1234" s="420"/>
      <c r="EF1234" s="420"/>
      <c r="EG1234" s="420"/>
      <c r="EH1234" s="420"/>
      <c r="EI1234" s="420"/>
      <c r="EJ1234" s="420"/>
      <c r="EK1234" s="420"/>
      <c r="EL1234" s="420"/>
      <c r="EM1234" s="420"/>
      <c r="EN1234" s="420"/>
      <c r="EO1234" s="420"/>
      <c r="EP1234" s="420"/>
      <c r="EQ1234" s="420"/>
      <c r="ER1234" s="420"/>
      <c r="ES1234" s="420"/>
      <c r="ET1234" s="420"/>
      <c r="EU1234" s="420"/>
      <c r="EV1234" s="420"/>
      <c r="EW1234" s="420"/>
      <c r="EX1234" s="420"/>
      <c r="EY1234" s="420"/>
      <c r="EZ1234" s="420"/>
      <c r="FA1234" s="420"/>
      <c r="FB1234" s="420"/>
      <c r="FC1234" s="420"/>
      <c r="FD1234" s="420"/>
      <c r="FE1234" s="420"/>
      <c r="FF1234" s="420"/>
      <c r="FG1234" s="420"/>
      <c r="FH1234" s="420"/>
      <c r="FI1234" s="420"/>
      <c r="FJ1234" s="420"/>
      <c r="FK1234" s="420"/>
      <c r="FL1234" s="420"/>
      <c r="FM1234" s="420"/>
      <c r="FN1234" s="420"/>
      <c r="FO1234" s="420"/>
      <c r="FP1234" s="420"/>
      <c r="FQ1234" s="420"/>
      <c r="FR1234" s="420"/>
      <c r="FS1234" s="420"/>
      <c r="FT1234" s="420"/>
      <c r="FU1234" s="420"/>
      <c r="FV1234" s="420"/>
      <c r="FW1234" s="420"/>
      <c r="FX1234" s="420"/>
      <c r="FY1234" s="420"/>
    </row>
    <row r="1235" spans="1:181" s="421" customFormat="1" ht="19.5" customHeight="1">
      <c r="A1235" s="918"/>
      <c r="B1235" s="919"/>
      <c r="C1235" s="920"/>
      <c r="D1235" s="921"/>
      <c r="E1235" s="922"/>
      <c r="F1235" s="923"/>
      <c r="G1235" s="420"/>
      <c r="H1235" s="420"/>
      <c r="I1235" s="420"/>
      <c r="J1235" s="420"/>
      <c r="K1235" s="420"/>
      <c r="L1235" s="420"/>
      <c r="M1235" s="420"/>
      <c r="N1235" s="646"/>
      <c r="O1235" s="646"/>
      <c r="P1235" s="420"/>
      <c r="Q1235" s="420"/>
      <c r="R1235" s="420"/>
      <c r="S1235" s="420"/>
      <c r="T1235" s="420"/>
      <c r="U1235" s="420"/>
      <c r="V1235" s="420"/>
      <c r="W1235" s="420"/>
      <c r="X1235" s="420"/>
      <c r="Y1235" s="420"/>
      <c r="Z1235" s="420"/>
      <c r="AA1235" s="420"/>
      <c r="AB1235" s="420"/>
      <c r="AC1235" s="420"/>
      <c r="AD1235" s="420"/>
      <c r="AE1235" s="420"/>
      <c r="AF1235" s="420"/>
      <c r="AG1235" s="420"/>
      <c r="AH1235" s="420"/>
      <c r="AI1235" s="420"/>
      <c r="AJ1235" s="420"/>
      <c r="AK1235" s="420"/>
      <c r="AL1235" s="420"/>
      <c r="AM1235" s="420"/>
      <c r="AN1235" s="420"/>
      <c r="AO1235" s="420"/>
      <c r="AP1235" s="420"/>
      <c r="AQ1235" s="420"/>
      <c r="AR1235" s="420"/>
      <c r="AS1235" s="420"/>
      <c r="AT1235" s="420"/>
      <c r="AU1235" s="420"/>
      <c r="AV1235" s="420"/>
      <c r="AW1235" s="420"/>
      <c r="AX1235" s="420"/>
      <c r="AY1235" s="420"/>
      <c r="AZ1235" s="420"/>
      <c r="BA1235" s="420"/>
      <c r="BB1235" s="420"/>
      <c r="BC1235" s="420"/>
      <c r="BD1235" s="420"/>
      <c r="BE1235" s="420"/>
      <c r="BF1235" s="420"/>
      <c r="BG1235" s="420"/>
      <c r="BH1235" s="420"/>
      <c r="BI1235" s="420"/>
      <c r="BJ1235" s="420"/>
      <c r="BK1235" s="420"/>
      <c r="BL1235" s="420"/>
      <c r="BM1235" s="420"/>
      <c r="BN1235" s="420"/>
      <c r="BO1235" s="420"/>
      <c r="BP1235" s="420"/>
      <c r="BQ1235" s="420"/>
      <c r="BR1235" s="420"/>
      <c r="BS1235" s="420"/>
      <c r="BT1235" s="420"/>
      <c r="BU1235" s="420"/>
      <c r="BV1235" s="420"/>
      <c r="BW1235" s="420"/>
      <c r="BX1235" s="420"/>
      <c r="BY1235" s="420"/>
      <c r="BZ1235" s="420"/>
      <c r="CA1235" s="420"/>
      <c r="CB1235" s="420"/>
      <c r="CC1235" s="420"/>
      <c r="CD1235" s="420"/>
      <c r="CE1235" s="420"/>
      <c r="CF1235" s="420"/>
      <c r="CG1235" s="420"/>
      <c r="CH1235" s="420"/>
      <c r="CI1235" s="420"/>
      <c r="CJ1235" s="420"/>
      <c r="CK1235" s="420"/>
      <c r="CL1235" s="420"/>
      <c r="CM1235" s="420"/>
      <c r="CN1235" s="420"/>
      <c r="CO1235" s="420"/>
      <c r="CP1235" s="420"/>
      <c r="CQ1235" s="420"/>
      <c r="CR1235" s="420"/>
      <c r="CS1235" s="420"/>
      <c r="CT1235" s="420"/>
      <c r="CU1235" s="420"/>
      <c r="CV1235" s="420"/>
      <c r="CW1235" s="420"/>
      <c r="CX1235" s="420"/>
      <c r="CY1235" s="420"/>
      <c r="CZ1235" s="420"/>
      <c r="DA1235" s="420"/>
      <c r="DB1235" s="420"/>
      <c r="DC1235" s="420"/>
      <c r="DD1235" s="420"/>
      <c r="DE1235" s="420"/>
      <c r="DF1235" s="420"/>
      <c r="DG1235" s="420"/>
      <c r="DH1235" s="420"/>
      <c r="DI1235" s="420"/>
      <c r="DJ1235" s="420"/>
      <c r="DK1235" s="420"/>
      <c r="DL1235" s="420"/>
      <c r="DM1235" s="420"/>
      <c r="DN1235" s="420"/>
      <c r="DO1235" s="420"/>
      <c r="DP1235" s="420"/>
      <c r="DQ1235" s="420"/>
      <c r="DR1235" s="420"/>
      <c r="DS1235" s="420"/>
      <c r="DT1235" s="420"/>
      <c r="DU1235" s="420"/>
      <c r="DV1235" s="420"/>
      <c r="DW1235" s="420"/>
      <c r="DX1235" s="420"/>
      <c r="DY1235" s="420"/>
      <c r="DZ1235" s="420"/>
      <c r="EA1235" s="420"/>
      <c r="EB1235" s="420"/>
      <c r="EC1235" s="420"/>
      <c r="ED1235" s="420"/>
      <c r="EE1235" s="420"/>
      <c r="EF1235" s="420"/>
      <c r="EG1235" s="420"/>
      <c r="EH1235" s="420"/>
      <c r="EI1235" s="420"/>
      <c r="EJ1235" s="420"/>
      <c r="EK1235" s="420"/>
      <c r="EL1235" s="420"/>
      <c r="EM1235" s="420"/>
      <c r="EN1235" s="420"/>
      <c r="EO1235" s="420"/>
      <c r="EP1235" s="420"/>
      <c r="EQ1235" s="420"/>
      <c r="ER1235" s="420"/>
      <c r="ES1235" s="420"/>
      <c r="ET1235" s="420"/>
      <c r="EU1235" s="420"/>
      <c r="EV1235" s="420"/>
      <c r="EW1235" s="420"/>
      <c r="EX1235" s="420"/>
      <c r="EY1235" s="420"/>
      <c r="EZ1235" s="420"/>
      <c r="FA1235" s="420"/>
      <c r="FB1235" s="420"/>
      <c r="FC1235" s="420"/>
      <c r="FD1235" s="420"/>
      <c r="FE1235" s="420"/>
      <c r="FF1235" s="420"/>
      <c r="FG1235" s="420"/>
      <c r="FH1235" s="420"/>
      <c r="FI1235" s="420"/>
      <c r="FJ1235" s="420"/>
      <c r="FK1235" s="420"/>
      <c r="FL1235" s="420"/>
      <c r="FM1235" s="420"/>
      <c r="FN1235" s="420"/>
      <c r="FO1235" s="420"/>
      <c r="FP1235" s="420"/>
      <c r="FQ1235" s="420"/>
      <c r="FR1235" s="420"/>
      <c r="FS1235" s="420"/>
      <c r="FT1235" s="420"/>
      <c r="FU1235" s="420"/>
      <c r="FV1235" s="420"/>
      <c r="FW1235" s="420"/>
      <c r="FX1235" s="420"/>
      <c r="FY1235" s="420"/>
    </row>
    <row r="1236" spans="1:181" s="421" customFormat="1" ht="19.5" customHeight="1">
      <c r="A1236" s="918"/>
      <c r="B1236" s="919" t="s">
        <v>864</v>
      </c>
      <c r="C1236" s="920"/>
      <c r="D1236" s="921"/>
      <c r="E1236" s="922"/>
      <c r="F1236" s="923"/>
      <c r="G1236" s="420"/>
      <c r="H1236" s="420"/>
      <c r="I1236" s="420"/>
      <c r="J1236" s="420"/>
      <c r="K1236" s="420"/>
      <c r="L1236" s="420"/>
      <c r="M1236" s="420"/>
      <c r="N1236" s="646"/>
      <c r="O1236" s="646"/>
      <c r="P1236" s="420"/>
      <c r="Q1236" s="420"/>
      <c r="R1236" s="420"/>
      <c r="S1236" s="420"/>
      <c r="T1236" s="420"/>
      <c r="U1236" s="420"/>
      <c r="V1236" s="420"/>
      <c r="W1236" s="420"/>
      <c r="X1236" s="420"/>
      <c r="Y1236" s="420"/>
      <c r="Z1236" s="420"/>
      <c r="AA1236" s="420"/>
      <c r="AB1236" s="420"/>
      <c r="AC1236" s="420"/>
      <c r="AD1236" s="420"/>
      <c r="AE1236" s="420"/>
      <c r="AF1236" s="420"/>
      <c r="AG1236" s="420"/>
      <c r="AH1236" s="420"/>
      <c r="AI1236" s="420"/>
      <c r="AJ1236" s="420"/>
      <c r="AK1236" s="420"/>
      <c r="AL1236" s="420"/>
      <c r="AM1236" s="420"/>
      <c r="AN1236" s="420"/>
      <c r="AO1236" s="420"/>
      <c r="AP1236" s="420"/>
      <c r="AQ1236" s="420"/>
      <c r="AR1236" s="420"/>
      <c r="AS1236" s="420"/>
      <c r="AT1236" s="420"/>
      <c r="AU1236" s="420"/>
      <c r="AV1236" s="420"/>
      <c r="AW1236" s="420"/>
      <c r="AX1236" s="420"/>
      <c r="AY1236" s="420"/>
      <c r="AZ1236" s="420"/>
      <c r="BA1236" s="420"/>
      <c r="BB1236" s="420"/>
      <c r="BC1236" s="420"/>
      <c r="BD1236" s="420"/>
      <c r="BE1236" s="420"/>
      <c r="BF1236" s="420"/>
      <c r="BG1236" s="420"/>
      <c r="BH1236" s="420"/>
      <c r="BI1236" s="420"/>
      <c r="BJ1236" s="420"/>
      <c r="BK1236" s="420"/>
      <c r="BL1236" s="420"/>
      <c r="BM1236" s="420"/>
      <c r="BN1236" s="420"/>
      <c r="BO1236" s="420"/>
      <c r="BP1236" s="420"/>
      <c r="BQ1236" s="420"/>
      <c r="BR1236" s="420"/>
      <c r="BS1236" s="420"/>
      <c r="BT1236" s="420"/>
      <c r="BU1236" s="420"/>
      <c r="BV1236" s="420"/>
      <c r="BW1236" s="420"/>
      <c r="BX1236" s="420"/>
      <c r="BY1236" s="420"/>
      <c r="BZ1236" s="420"/>
      <c r="CA1236" s="420"/>
      <c r="CB1236" s="420"/>
      <c r="CC1236" s="420"/>
      <c r="CD1236" s="420"/>
      <c r="CE1236" s="420"/>
      <c r="CF1236" s="420"/>
      <c r="CG1236" s="420"/>
      <c r="CH1236" s="420"/>
      <c r="CI1236" s="420"/>
      <c r="CJ1236" s="420"/>
      <c r="CK1236" s="420"/>
      <c r="CL1236" s="420"/>
      <c r="CM1236" s="420"/>
      <c r="CN1236" s="420"/>
      <c r="CO1236" s="420"/>
      <c r="CP1236" s="420"/>
      <c r="CQ1236" s="420"/>
      <c r="CR1236" s="420"/>
      <c r="CS1236" s="420"/>
      <c r="CT1236" s="420"/>
      <c r="CU1236" s="420"/>
      <c r="CV1236" s="420"/>
      <c r="CW1236" s="420"/>
      <c r="CX1236" s="420"/>
      <c r="CY1236" s="420"/>
      <c r="CZ1236" s="420"/>
      <c r="DA1236" s="420"/>
      <c r="DB1236" s="420"/>
      <c r="DC1236" s="420"/>
      <c r="DD1236" s="420"/>
      <c r="DE1236" s="420"/>
      <c r="DF1236" s="420"/>
      <c r="DG1236" s="420"/>
      <c r="DH1236" s="420"/>
      <c r="DI1236" s="420"/>
      <c r="DJ1236" s="420"/>
      <c r="DK1236" s="420"/>
      <c r="DL1236" s="420"/>
      <c r="DM1236" s="420"/>
      <c r="DN1236" s="420"/>
      <c r="DO1236" s="420"/>
      <c r="DP1236" s="420"/>
      <c r="DQ1236" s="420"/>
      <c r="DR1236" s="420"/>
      <c r="DS1236" s="420"/>
      <c r="DT1236" s="420"/>
      <c r="DU1236" s="420"/>
      <c r="DV1236" s="420"/>
      <c r="DW1236" s="420"/>
      <c r="DX1236" s="420"/>
      <c r="DY1236" s="420"/>
      <c r="DZ1236" s="420"/>
      <c r="EA1236" s="420"/>
      <c r="EB1236" s="420"/>
      <c r="EC1236" s="420"/>
      <c r="ED1236" s="420"/>
      <c r="EE1236" s="420"/>
      <c r="EF1236" s="420"/>
      <c r="EG1236" s="420"/>
      <c r="EH1236" s="420"/>
      <c r="EI1236" s="420"/>
      <c r="EJ1236" s="420"/>
      <c r="EK1236" s="420"/>
      <c r="EL1236" s="420"/>
      <c r="EM1236" s="420"/>
      <c r="EN1236" s="420"/>
      <c r="EO1236" s="420"/>
      <c r="EP1236" s="420"/>
      <c r="EQ1236" s="420"/>
      <c r="ER1236" s="420"/>
      <c r="ES1236" s="420"/>
      <c r="ET1236" s="420"/>
      <c r="EU1236" s="420"/>
      <c r="EV1236" s="420"/>
      <c r="EW1236" s="420"/>
      <c r="EX1236" s="420"/>
      <c r="EY1236" s="420"/>
      <c r="EZ1236" s="420"/>
      <c r="FA1236" s="420"/>
      <c r="FB1236" s="420"/>
      <c r="FC1236" s="420"/>
      <c r="FD1236" s="420"/>
      <c r="FE1236" s="420"/>
      <c r="FF1236" s="420"/>
      <c r="FG1236" s="420"/>
      <c r="FH1236" s="420"/>
      <c r="FI1236" s="420"/>
      <c r="FJ1236" s="420"/>
      <c r="FK1236" s="420"/>
      <c r="FL1236" s="420"/>
      <c r="FM1236" s="420"/>
      <c r="FN1236" s="420"/>
      <c r="FO1236" s="420"/>
      <c r="FP1236" s="420"/>
      <c r="FQ1236" s="420"/>
      <c r="FR1236" s="420"/>
      <c r="FS1236" s="420"/>
      <c r="FT1236" s="420"/>
      <c r="FU1236" s="420"/>
      <c r="FV1236" s="420"/>
      <c r="FW1236" s="420"/>
      <c r="FX1236" s="420"/>
      <c r="FY1236" s="420"/>
    </row>
    <row r="1237" spans="1:181" s="421" customFormat="1" ht="19.5" customHeight="1">
      <c r="A1237" s="918" t="s">
        <v>865</v>
      </c>
      <c r="B1237" s="919" t="s">
        <v>866</v>
      </c>
      <c r="C1237" s="920" t="s">
        <v>57</v>
      </c>
      <c r="D1237" s="921">
        <v>1</v>
      </c>
      <c r="E1237" s="922"/>
      <c r="F1237" s="380">
        <f aca="true" t="shared" si="40" ref="F1237:F1249">D1237*E1237</f>
        <v>0</v>
      </c>
      <c r="G1237" s="420"/>
      <c r="H1237" s="420"/>
      <c r="I1237" s="420"/>
      <c r="J1237" s="420"/>
      <c r="K1237" s="420"/>
      <c r="L1237" s="420"/>
      <c r="M1237" s="420"/>
      <c r="N1237" s="640">
        <f aca="true" t="shared" si="41" ref="N1237:N1249">E1237*1.2</f>
        <v>0</v>
      </c>
      <c r="O1237" s="640">
        <f aca="true" t="shared" si="42" ref="O1237:O1249">N1237*D1237</f>
        <v>0</v>
      </c>
      <c r="P1237" s="420"/>
      <c r="Q1237" s="420"/>
      <c r="R1237" s="420"/>
      <c r="S1237" s="420"/>
      <c r="T1237" s="420"/>
      <c r="U1237" s="420"/>
      <c r="V1237" s="420"/>
      <c r="W1237" s="420"/>
      <c r="X1237" s="420"/>
      <c r="Y1237" s="420"/>
      <c r="Z1237" s="420"/>
      <c r="AA1237" s="420"/>
      <c r="AB1237" s="420"/>
      <c r="AC1237" s="420"/>
      <c r="AD1237" s="420"/>
      <c r="AE1237" s="420"/>
      <c r="AF1237" s="420"/>
      <c r="AG1237" s="420"/>
      <c r="AH1237" s="420"/>
      <c r="AI1237" s="420"/>
      <c r="AJ1237" s="420"/>
      <c r="AK1237" s="420"/>
      <c r="AL1237" s="420"/>
      <c r="AM1237" s="420"/>
      <c r="AN1237" s="420"/>
      <c r="AO1237" s="420"/>
      <c r="AP1237" s="420"/>
      <c r="AQ1237" s="420"/>
      <c r="AR1237" s="420"/>
      <c r="AS1237" s="420"/>
      <c r="AT1237" s="420"/>
      <c r="AU1237" s="420"/>
      <c r="AV1237" s="420"/>
      <c r="AW1237" s="420"/>
      <c r="AX1237" s="420"/>
      <c r="AY1237" s="420"/>
      <c r="AZ1237" s="420"/>
      <c r="BA1237" s="420"/>
      <c r="BB1237" s="420"/>
      <c r="BC1237" s="420"/>
      <c r="BD1237" s="420"/>
      <c r="BE1237" s="420"/>
      <c r="BF1237" s="420"/>
      <c r="BG1237" s="420"/>
      <c r="BH1237" s="420"/>
      <c r="BI1237" s="420"/>
      <c r="BJ1237" s="420"/>
      <c r="BK1237" s="420"/>
      <c r="BL1237" s="420"/>
      <c r="BM1237" s="420"/>
      <c r="BN1237" s="420"/>
      <c r="BO1237" s="420"/>
      <c r="BP1237" s="420"/>
      <c r="BQ1237" s="420"/>
      <c r="BR1237" s="420"/>
      <c r="BS1237" s="420"/>
      <c r="BT1237" s="420"/>
      <c r="BU1237" s="420"/>
      <c r="BV1237" s="420"/>
      <c r="BW1237" s="420"/>
      <c r="BX1237" s="420"/>
      <c r="BY1237" s="420"/>
      <c r="BZ1237" s="420"/>
      <c r="CA1237" s="420"/>
      <c r="CB1237" s="420"/>
      <c r="CC1237" s="420"/>
      <c r="CD1237" s="420"/>
      <c r="CE1237" s="420"/>
      <c r="CF1237" s="420"/>
      <c r="CG1237" s="420"/>
      <c r="CH1237" s="420"/>
      <c r="CI1237" s="420"/>
      <c r="CJ1237" s="420"/>
      <c r="CK1237" s="420"/>
      <c r="CL1237" s="420"/>
      <c r="CM1237" s="420"/>
      <c r="CN1237" s="420"/>
      <c r="CO1237" s="420"/>
      <c r="CP1237" s="420"/>
      <c r="CQ1237" s="420"/>
      <c r="CR1237" s="420"/>
      <c r="CS1237" s="420"/>
      <c r="CT1237" s="420"/>
      <c r="CU1237" s="420"/>
      <c r="CV1237" s="420"/>
      <c r="CW1237" s="420"/>
      <c r="CX1237" s="420"/>
      <c r="CY1237" s="420"/>
      <c r="CZ1237" s="420"/>
      <c r="DA1237" s="420"/>
      <c r="DB1237" s="420"/>
      <c r="DC1237" s="420"/>
      <c r="DD1237" s="420"/>
      <c r="DE1237" s="420"/>
      <c r="DF1237" s="420"/>
      <c r="DG1237" s="420"/>
      <c r="DH1237" s="420"/>
      <c r="DI1237" s="420"/>
      <c r="DJ1237" s="420"/>
      <c r="DK1237" s="420"/>
      <c r="DL1237" s="420"/>
      <c r="DM1237" s="420"/>
      <c r="DN1237" s="420"/>
      <c r="DO1237" s="420"/>
      <c r="DP1237" s="420"/>
      <c r="DQ1237" s="420"/>
      <c r="DR1237" s="420"/>
      <c r="DS1237" s="420"/>
      <c r="DT1237" s="420"/>
      <c r="DU1237" s="420"/>
      <c r="DV1237" s="420"/>
      <c r="DW1237" s="420"/>
      <c r="DX1237" s="420"/>
      <c r="DY1237" s="420"/>
      <c r="DZ1237" s="420"/>
      <c r="EA1237" s="420"/>
      <c r="EB1237" s="420"/>
      <c r="EC1237" s="420"/>
      <c r="ED1237" s="420"/>
      <c r="EE1237" s="420"/>
      <c r="EF1237" s="420"/>
      <c r="EG1237" s="420"/>
      <c r="EH1237" s="420"/>
      <c r="EI1237" s="420"/>
      <c r="EJ1237" s="420"/>
      <c r="EK1237" s="420"/>
      <c r="EL1237" s="420"/>
      <c r="EM1237" s="420"/>
      <c r="EN1237" s="420"/>
      <c r="EO1237" s="420"/>
      <c r="EP1237" s="420"/>
      <c r="EQ1237" s="420"/>
      <c r="ER1237" s="420"/>
      <c r="ES1237" s="420"/>
      <c r="ET1237" s="420"/>
      <c r="EU1237" s="420"/>
      <c r="EV1237" s="420"/>
      <c r="EW1237" s="420"/>
      <c r="EX1237" s="420"/>
      <c r="EY1237" s="420"/>
      <c r="EZ1237" s="420"/>
      <c r="FA1237" s="420"/>
      <c r="FB1237" s="420"/>
      <c r="FC1237" s="420"/>
      <c r="FD1237" s="420"/>
      <c r="FE1237" s="420"/>
      <c r="FF1237" s="420"/>
      <c r="FG1237" s="420"/>
      <c r="FH1237" s="420"/>
      <c r="FI1237" s="420"/>
      <c r="FJ1237" s="420"/>
      <c r="FK1237" s="420"/>
      <c r="FL1237" s="420"/>
      <c r="FM1237" s="420"/>
      <c r="FN1237" s="420"/>
      <c r="FO1237" s="420"/>
      <c r="FP1237" s="420"/>
      <c r="FQ1237" s="420"/>
      <c r="FR1237" s="420"/>
      <c r="FS1237" s="420"/>
      <c r="FT1237" s="420"/>
      <c r="FU1237" s="420"/>
      <c r="FV1237" s="420"/>
      <c r="FW1237" s="420"/>
      <c r="FX1237" s="420"/>
      <c r="FY1237" s="420"/>
    </row>
    <row r="1238" spans="1:181" s="421" customFormat="1" ht="19.5" customHeight="1">
      <c r="A1238" s="918" t="s">
        <v>867</v>
      </c>
      <c r="B1238" s="919" t="s">
        <v>868</v>
      </c>
      <c r="C1238" s="920" t="s">
        <v>57</v>
      </c>
      <c r="D1238" s="921">
        <v>1</v>
      </c>
      <c r="E1238" s="922"/>
      <c r="F1238" s="380">
        <f t="shared" si="40"/>
        <v>0</v>
      </c>
      <c r="G1238" s="420"/>
      <c r="H1238" s="420"/>
      <c r="I1238" s="420"/>
      <c r="J1238" s="420"/>
      <c r="K1238" s="420"/>
      <c r="L1238" s="420"/>
      <c r="M1238" s="420"/>
      <c r="N1238" s="640">
        <f t="shared" si="41"/>
        <v>0</v>
      </c>
      <c r="O1238" s="640">
        <f t="shared" si="42"/>
        <v>0</v>
      </c>
      <c r="P1238" s="420"/>
      <c r="Q1238" s="420"/>
      <c r="R1238" s="420"/>
      <c r="S1238" s="420"/>
      <c r="T1238" s="420"/>
      <c r="U1238" s="420"/>
      <c r="V1238" s="420"/>
      <c r="W1238" s="420"/>
      <c r="X1238" s="420"/>
      <c r="Y1238" s="420"/>
      <c r="Z1238" s="420"/>
      <c r="AA1238" s="420"/>
      <c r="AB1238" s="420"/>
      <c r="AC1238" s="420"/>
      <c r="AD1238" s="420"/>
      <c r="AE1238" s="420"/>
      <c r="AF1238" s="420"/>
      <c r="AG1238" s="420"/>
      <c r="AH1238" s="420"/>
      <c r="AI1238" s="420"/>
      <c r="AJ1238" s="420"/>
      <c r="AK1238" s="420"/>
      <c r="AL1238" s="420"/>
      <c r="AM1238" s="420"/>
      <c r="AN1238" s="420"/>
      <c r="AO1238" s="420"/>
      <c r="AP1238" s="420"/>
      <c r="AQ1238" s="420"/>
      <c r="AR1238" s="420"/>
      <c r="AS1238" s="420"/>
      <c r="AT1238" s="420"/>
      <c r="AU1238" s="420"/>
      <c r="AV1238" s="420"/>
      <c r="AW1238" s="420"/>
      <c r="AX1238" s="420"/>
      <c r="AY1238" s="420"/>
      <c r="AZ1238" s="420"/>
      <c r="BA1238" s="420"/>
      <c r="BB1238" s="420"/>
      <c r="BC1238" s="420"/>
      <c r="BD1238" s="420"/>
      <c r="BE1238" s="420"/>
      <c r="BF1238" s="420"/>
      <c r="BG1238" s="420"/>
      <c r="BH1238" s="420"/>
      <c r="BI1238" s="420"/>
      <c r="BJ1238" s="420"/>
      <c r="BK1238" s="420"/>
      <c r="BL1238" s="420"/>
      <c r="BM1238" s="420"/>
      <c r="BN1238" s="420"/>
      <c r="BO1238" s="420"/>
      <c r="BP1238" s="420"/>
      <c r="BQ1238" s="420"/>
      <c r="BR1238" s="420"/>
      <c r="BS1238" s="420"/>
      <c r="BT1238" s="420"/>
      <c r="BU1238" s="420"/>
      <c r="BV1238" s="420"/>
      <c r="BW1238" s="420"/>
      <c r="BX1238" s="420"/>
      <c r="BY1238" s="420"/>
      <c r="BZ1238" s="420"/>
      <c r="CA1238" s="420"/>
      <c r="CB1238" s="420"/>
      <c r="CC1238" s="420"/>
      <c r="CD1238" s="420"/>
      <c r="CE1238" s="420"/>
      <c r="CF1238" s="420"/>
      <c r="CG1238" s="420"/>
      <c r="CH1238" s="420"/>
      <c r="CI1238" s="420"/>
      <c r="CJ1238" s="420"/>
      <c r="CK1238" s="420"/>
      <c r="CL1238" s="420"/>
      <c r="CM1238" s="420"/>
      <c r="CN1238" s="420"/>
      <c r="CO1238" s="420"/>
      <c r="CP1238" s="420"/>
      <c r="CQ1238" s="420"/>
      <c r="CR1238" s="420"/>
      <c r="CS1238" s="420"/>
      <c r="CT1238" s="420"/>
      <c r="CU1238" s="420"/>
      <c r="CV1238" s="420"/>
      <c r="CW1238" s="420"/>
      <c r="CX1238" s="420"/>
      <c r="CY1238" s="420"/>
      <c r="CZ1238" s="420"/>
      <c r="DA1238" s="420"/>
      <c r="DB1238" s="420"/>
      <c r="DC1238" s="420"/>
      <c r="DD1238" s="420"/>
      <c r="DE1238" s="420"/>
      <c r="DF1238" s="420"/>
      <c r="DG1238" s="420"/>
      <c r="DH1238" s="420"/>
      <c r="DI1238" s="420"/>
      <c r="DJ1238" s="420"/>
      <c r="DK1238" s="420"/>
      <c r="DL1238" s="420"/>
      <c r="DM1238" s="420"/>
      <c r="DN1238" s="420"/>
      <c r="DO1238" s="420"/>
      <c r="DP1238" s="420"/>
      <c r="DQ1238" s="420"/>
      <c r="DR1238" s="420"/>
      <c r="DS1238" s="420"/>
      <c r="DT1238" s="420"/>
      <c r="DU1238" s="420"/>
      <c r="DV1238" s="420"/>
      <c r="DW1238" s="420"/>
      <c r="DX1238" s="420"/>
      <c r="DY1238" s="420"/>
      <c r="DZ1238" s="420"/>
      <c r="EA1238" s="420"/>
      <c r="EB1238" s="420"/>
      <c r="EC1238" s="420"/>
      <c r="ED1238" s="420"/>
      <c r="EE1238" s="420"/>
      <c r="EF1238" s="420"/>
      <c r="EG1238" s="420"/>
      <c r="EH1238" s="420"/>
      <c r="EI1238" s="420"/>
      <c r="EJ1238" s="420"/>
      <c r="EK1238" s="420"/>
      <c r="EL1238" s="420"/>
      <c r="EM1238" s="420"/>
      <c r="EN1238" s="420"/>
      <c r="EO1238" s="420"/>
      <c r="EP1238" s="420"/>
      <c r="EQ1238" s="420"/>
      <c r="ER1238" s="420"/>
      <c r="ES1238" s="420"/>
      <c r="ET1238" s="420"/>
      <c r="EU1238" s="420"/>
      <c r="EV1238" s="420"/>
      <c r="EW1238" s="420"/>
      <c r="EX1238" s="420"/>
      <c r="EY1238" s="420"/>
      <c r="EZ1238" s="420"/>
      <c r="FA1238" s="420"/>
      <c r="FB1238" s="420"/>
      <c r="FC1238" s="420"/>
      <c r="FD1238" s="420"/>
      <c r="FE1238" s="420"/>
      <c r="FF1238" s="420"/>
      <c r="FG1238" s="420"/>
      <c r="FH1238" s="420"/>
      <c r="FI1238" s="420"/>
      <c r="FJ1238" s="420"/>
      <c r="FK1238" s="420"/>
      <c r="FL1238" s="420"/>
      <c r="FM1238" s="420"/>
      <c r="FN1238" s="420"/>
      <c r="FO1238" s="420"/>
      <c r="FP1238" s="420"/>
      <c r="FQ1238" s="420"/>
      <c r="FR1238" s="420"/>
      <c r="FS1238" s="420"/>
      <c r="FT1238" s="420"/>
      <c r="FU1238" s="420"/>
      <c r="FV1238" s="420"/>
      <c r="FW1238" s="420"/>
      <c r="FX1238" s="420"/>
      <c r="FY1238" s="420"/>
    </row>
    <row r="1239" spans="1:181" s="421" customFormat="1" ht="12.75">
      <c r="A1239" s="918" t="s">
        <v>869</v>
      </c>
      <c r="B1239" s="926" t="s">
        <v>870</v>
      </c>
      <c r="C1239" s="920" t="s">
        <v>47</v>
      </c>
      <c r="D1239" s="924">
        <v>2</v>
      </c>
      <c r="E1239" s="925"/>
      <c r="F1239" s="380">
        <f t="shared" si="40"/>
        <v>0</v>
      </c>
      <c r="G1239" s="420"/>
      <c r="H1239" s="420"/>
      <c r="I1239" s="420"/>
      <c r="J1239" s="420"/>
      <c r="K1239" s="420"/>
      <c r="L1239" s="420"/>
      <c r="M1239" s="420"/>
      <c r="N1239" s="640">
        <f t="shared" si="41"/>
        <v>0</v>
      </c>
      <c r="O1239" s="640">
        <f t="shared" si="42"/>
        <v>0</v>
      </c>
      <c r="P1239" s="420"/>
      <c r="Q1239" s="420"/>
      <c r="R1239" s="420"/>
      <c r="S1239" s="420"/>
      <c r="T1239" s="420"/>
      <c r="U1239" s="420"/>
      <c r="V1239" s="420"/>
      <c r="W1239" s="420"/>
      <c r="X1239" s="420"/>
      <c r="Y1239" s="420"/>
      <c r="Z1239" s="420"/>
      <c r="AA1239" s="420"/>
      <c r="AB1239" s="420"/>
      <c r="AC1239" s="420"/>
      <c r="AD1239" s="420"/>
      <c r="AE1239" s="420"/>
      <c r="AF1239" s="420"/>
      <c r="AG1239" s="420"/>
      <c r="AH1239" s="420"/>
      <c r="AI1239" s="420"/>
      <c r="AJ1239" s="420"/>
      <c r="AK1239" s="420"/>
      <c r="AL1239" s="420"/>
      <c r="AM1239" s="420"/>
      <c r="AN1239" s="420"/>
      <c r="AO1239" s="420"/>
      <c r="AP1239" s="420"/>
      <c r="AQ1239" s="420"/>
      <c r="AR1239" s="420"/>
      <c r="AS1239" s="420"/>
      <c r="AT1239" s="420"/>
      <c r="AU1239" s="420"/>
      <c r="AV1239" s="420"/>
      <c r="AW1239" s="420"/>
      <c r="AX1239" s="420"/>
      <c r="AY1239" s="420"/>
      <c r="AZ1239" s="420"/>
      <c r="BA1239" s="420"/>
      <c r="BB1239" s="420"/>
      <c r="BC1239" s="420"/>
      <c r="BD1239" s="420"/>
      <c r="BE1239" s="420"/>
      <c r="BF1239" s="420"/>
      <c r="BG1239" s="420"/>
      <c r="BH1239" s="420"/>
      <c r="BI1239" s="420"/>
      <c r="BJ1239" s="420"/>
      <c r="BK1239" s="420"/>
      <c r="BL1239" s="420"/>
      <c r="BM1239" s="420"/>
      <c r="BN1239" s="420"/>
      <c r="BO1239" s="420"/>
      <c r="BP1239" s="420"/>
      <c r="BQ1239" s="420"/>
      <c r="BR1239" s="420"/>
      <c r="BS1239" s="420"/>
      <c r="BT1239" s="420"/>
      <c r="BU1239" s="420"/>
      <c r="BV1239" s="420"/>
      <c r="BW1239" s="420"/>
      <c r="BX1239" s="420"/>
      <c r="BY1239" s="420"/>
      <c r="BZ1239" s="420"/>
      <c r="CA1239" s="420"/>
      <c r="CB1239" s="420"/>
      <c r="CC1239" s="420"/>
      <c r="CD1239" s="420"/>
      <c r="CE1239" s="420"/>
      <c r="CF1239" s="420"/>
      <c r="CG1239" s="420"/>
      <c r="CH1239" s="420"/>
      <c r="CI1239" s="420"/>
      <c r="CJ1239" s="420"/>
      <c r="CK1239" s="420"/>
      <c r="CL1239" s="420"/>
      <c r="CM1239" s="420"/>
      <c r="CN1239" s="420"/>
      <c r="CO1239" s="420"/>
      <c r="CP1239" s="420"/>
      <c r="CQ1239" s="420"/>
      <c r="CR1239" s="420"/>
      <c r="CS1239" s="420"/>
      <c r="CT1239" s="420"/>
      <c r="CU1239" s="420"/>
      <c r="CV1239" s="420"/>
      <c r="CW1239" s="420"/>
      <c r="CX1239" s="420"/>
      <c r="CY1239" s="420"/>
      <c r="CZ1239" s="420"/>
      <c r="DA1239" s="420"/>
      <c r="DB1239" s="420"/>
      <c r="DC1239" s="420"/>
      <c r="DD1239" s="420"/>
      <c r="DE1239" s="420"/>
      <c r="DF1239" s="420"/>
      <c r="DG1239" s="420"/>
      <c r="DH1239" s="420"/>
      <c r="DI1239" s="420"/>
      <c r="DJ1239" s="420"/>
      <c r="DK1239" s="420"/>
      <c r="DL1239" s="420"/>
      <c r="DM1239" s="420"/>
      <c r="DN1239" s="420"/>
      <c r="DO1239" s="420"/>
      <c r="DP1239" s="420"/>
      <c r="DQ1239" s="420"/>
      <c r="DR1239" s="420"/>
      <c r="DS1239" s="420"/>
      <c r="DT1239" s="420"/>
      <c r="DU1239" s="420"/>
      <c r="DV1239" s="420"/>
      <c r="DW1239" s="420"/>
      <c r="DX1239" s="420"/>
      <c r="DY1239" s="420"/>
      <c r="DZ1239" s="420"/>
      <c r="EA1239" s="420"/>
      <c r="EB1239" s="420"/>
      <c r="EC1239" s="420"/>
      <c r="ED1239" s="420"/>
      <c r="EE1239" s="420"/>
      <c r="EF1239" s="420"/>
      <c r="EG1239" s="420"/>
      <c r="EH1239" s="420"/>
      <c r="EI1239" s="420"/>
      <c r="EJ1239" s="420"/>
      <c r="EK1239" s="420"/>
      <c r="EL1239" s="420"/>
      <c r="EM1239" s="420"/>
      <c r="EN1239" s="420"/>
      <c r="EO1239" s="420"/>
      <c r="EP1239" s="420"/>
      <c r="EQ1239" s="420"/>
      <c r="ER1239" s="420"/>
      <c r="ES1239" s="420"/>
      <c r="ET1239" s="420"/>
      <c r="EU1239" s="420"/>
      <c r="EV1239" s="420"/>
      <c r="EW1239" s="420"/>
      <c r="EX1239" s="420"/>
      <c r="EY1239" s="420"/>
      <c r="EZ1239" s="420"/>
      <c r="FA1239" s="420"/>
      <c r="FB1239" s="420"/>
      <c r="FC1239" s="420"/>
      <c r="FD1239" s="420"/>
      <c r="FE1239" s="420"/>
      <c r="FF1239" s="420"/>
      <c r="FG1239" s="420"/>
      <c r="FH1239" s="420"/>
      <c r="FI1239" s="420"/>
      <c r="FJ1239" s="420"/>
      <c r="FK1239" s="420"/>
      <c r="FL1239" s="420"/>
      <c r="FM1239" s="420"/>
      <c r="FN1239" s="420"/>
      <c r="FO1239" s="420"/>
      <c r="FP1239" s="420"/>
      <c r="FQ1239" s="420"/>
      <c r="FR1239" s="420"/>
      <c r="FS1239" s="420"/>
      <c r="FT1239" s="420"/>
      <c r="FU1239" s="420"/>
      <c r="FV1239" s="420"/>
      <c r="FW1239" s="420"/>
      <c r="FX1239" s="420"/>
      <c r="FY1239" s="420"/>
    </row>
    <row r="1240" spans="1:181" s="421" customFormat="1" ht="12.75">
      <c r="A1240" s="918" t="s">
        <v>871</v>
      </c>
      <c r="B1240" s="919" t="s">
        <v>872</v>
      </c>
      <c r="C1240" s="920" t="s">
        <v>47</v>
      </c>
      <c r="D1240" s="921">
        <v>4</v>
      </c>
      <c r="E1240" s="922"/>
      <c r="F1240" s="380">
        <f t="shared" si="40"/>
        <v>0</v>
      </c>
      <c r="G1240" s="420"/>
      <c r="H1240" s="420"/>
      <c r="I1240" s="420"/>
      <c r="J1240" s="420"/>
      <c r="K1240" s="420"/>
      <c r="L1240" s="420"/>
      <c r="M1240" s="420"/>
      <c r="N1240" s="640">
        <f t="shared" si="41"/>
        <v>0</v>
      </c>
      <c r="O1240" s="640">
        <f t="shared" si="42"/>
        <v>0</v>
      </c>
      <c r="P1240" s="420"/>
      <c r="Q1240" s="420"/>
      <c r="R1240" s="420"/>
      <c r="S1240" s="420"/>
      <c r="T1240" s="420"/>
      <c r="U1240" s="420"/>
      <c r="V1240" s="420"/>
      <c r="W1240" s="420"/>
      <c r="X1240" s="420"/>
      <c r="Y1240" s="420"/>
      <c r="Z1240" s="420"/>
      <c r="AA1240" s="420"/>
      <c r="AB1240" s="420"/>
      <c r="AC1240" s="420"/>
      <c r="AD1240" s="420"/>
      <c r="AE1240" s="420"/>
      <c r="AF1240" s="420"/>
      <c r="AG1240" s="420"/>
      <c r="AH1240" s="420"/>
      <c r="AI1240" s="420"/>
      <c r="AJ1240" s="420"/>
      <c r="AK1240" s="420"/>
      <c r="AL1240" s="420"/>
      <c r="AM1240" s="420"/>
      <c r="AN1240" s="420"/>
      <c r="AO1240" s="420"/>
      <c r="AP1240" s="420"/>
      <c r="AQ1240" s="420"/>
      <c r="AR1240" s="420"/>
      <c r="AS1240" s="420"/>
      <c r="AT1240" s="420"/>
      <c r="AU1240" s="420"/>
      <c r="AV1240" s="420"/>
      <c r="AW1240" s="420"/>
      <c r="AX1240" s="420"/>
      <c r="AY1240" s="420"/>
      <c r="AZ1240" s="420"/>
      <c r="BA1240" s="420"/>
      <c r="BB1240" s="420"/>
      <c r="BC1240" s="420"/>
      <c r="BD1240" s="420"/>
      <c r="BE1240" s="420"/>
      <c r="BF1240" s="420"/>
      <c r="BG1240" s="420"/>
      <c r="BH1240" s="420"/>
      <c r="BI1240" s="420"/>
      <c r="BJ1240" s="420"/>
      <c r="BK1240" s="420"/>
      <c r="BL1240" s="420"/>
      <c r="BM1240" s="420"/>
      <c r="BN1240" s="420"/>
      <c r="BO1240" s="420"/>
      <c r="BP1240" s="420"/>
      <c r="BQ1240" s="420"/>
      <c r="BR1240" s="420"/>
      <c r="BS1240" s="420"/>
      <c r="BT1240" s="420"/>
      <c r="BU1240" s="420"/>
      <c r="BV1240" s="420"/>
      <c r="BW1240" s="420"/>
      <c r="BX1240" s="420"/>
      <c r="BY1240" s="420"/>
      <c r="BZ1240" s="420"/>
      <c r="CA1240" s="420"/>
      <c r="CB1240" s="420"/>
      <c r="CC1240" s="420"/>
      <c r="CD1240" s="420"/>
      <c r="CE1240" s="420"/>
      <c r="CF1240" s="420"/>
      <c r="CG1240" s="420"/>
      <c r="CH1240" s="420"/>
      <c r="CI1240" s="420"/>
      <c r="CJ1240" s="420"/>
      <c r="CK1240" s="420"/>
      <c r="CL1240" s="420"/>
      <c r="CM1240" s="420"/>
      <c r="CN1240" s="420"/>
      <c r="CO1240" s="420"/>
      <c r="CP1240" s="420"/>
      <c r="CQ1240" s="420"/>
      <c r="CR1240" s="420"/>
      <c r="CS1240" s="420"/>
      <c r="CT1240" s="420"/>
      <c r="CU1240" s="420"/>
      <c r="CV1240" s="420"/>
      <c r="CW1240" s="420"/>
      <c r="CX1240" s="420"/>
      <c r="CY1240" s="420"/>
      <c r="CZ1240" s="420"/>
      <c r="DA1240" s="420"/>
      <c r="DB1240" s="420"/>
      <c r="DC1240" s="420"/>
      <c r="DD1240" s="420"/>
      <c r="DE1240" s="420"/>
      <c r="DF1240" s="420"/>
      <c r="DG1240" s="420"/>
      <c r="DH1240" s="420"/>
      <c r="DI1240" s="420"/>
      <c r="DJ1240" s="420"/>
      <c r="DK1240" s="420"/>
      <c r="DL1240" s="420"/>
      <c r="DM1240" s="420"/>
      <c r="DN1240" s="420"/>
      <c r="DO1240" s="420"/>
      <c r="DP1240" s="420"/>
      <c r="DQ1240" s="420"/>
      <c r="DR1240" s="420"/>
      <c r="DS1240" s="420"/>
      <c r="DT1240" s="420"/>
      <c r="DU1240" s="420"/>
      <c r="DV1240" s="420"/>
      <c r="DW1240" s="420"/>
      <c r="DX1240" s="420"/>
      <c r="DY1240" s="420"/>
      <c r="DZ1240" s="420"/>
      <c r="EA1240" s="420"/>
      <c r="EB1240" s="420"/>
      <c r="EC1240" s="420"/>
      <c r="ED1240" s="420"/>
      <c r="EE1240" s="420"/>
      <c r="EF1240" s="420"/>
      <c r="EG1240" s="420"/>
      <c r="EH1240" s="420"/>
      <c r="EI1240" s="420"/>
      <c r="EJ1240" s="420"/>
      <c r="EK1240" s="420"/>
      <c r="EL1240" s="420"/>
      <c r="EM1240" s="420"/>
      <c r="EN1240" s="420"/>
      <c r="EO1240" s="420"/>
      <c r="EP1240" s="420"/>
      <c r="EQ1240" s="420"/>
      <c r="ER1240" s="420"/>
      <c r="ES1240" s="420"/>
      <c r="ET1240" s="420"/>
      <c r="EU1240" s="420"/>
      <c r="EV1240" s="420"/>
      <c r="EW1240" s="420"/>
      <c r="EX1240" s="420"/>
      <c r="EY1240" s="420"/>
      <c r="EZ1240" s="420"/>
      <c r="FA1240" s="420"/>
      <c r="FB1240" s="420"/>
      <c r="FC1240" s="420"/>
      <c r="FD1240" s="420"/>
      <c r="FE1240" s="420"/>
      <c r="FF1240" s="420"/>
      <c r="FG1240" s="420"/>
      <c r="FH1240" s="420"/>
      <c r="FI1240" s="420"/>
      <c r="FJ1240" s="420"/>
      <c r="FK1240" s="420"/>
      <c r="FL1240" s="420"/>
      <c r="FM1240" s="420"/>
      <c r="FN1240" s="420"/>
      <c r="FO1240" s="420"/>
      <c r="FP1240" s="420"/>
      <c r="FQ1240" s="420"/>
      <c r="FR1240" s="420"/>
      <c r="FS1240" s="420"/>
      <c r="FT1240" s="420"/>
      <c r="FU1240" s="420"/>
      <c r="FV1240" s="420"/>
      <c r="FW1240" s="420"/>
      <c r="FX1240" s="420"/>
      <c r="FY1240" s="420"/>
    </row>
    <row r="1241" spans="1:181" s="421" customFormat="1" ht="12.75">
      <c r="A1241" s="918" t="s">
        <v>873</v>
      </c>
      <c r="B1241" s="919" t="s">
        <v>874</v>
      </c>
      <c r="C1241" s="920" t="s">
        <v>350</v>
      </c>
      <c r="D1241" s="921">
        <v>10</v>
      </c>
      <c r="E1241" s="922"/>
      <c r="F1241" s="380">
        <f t="shared" si="40"/>
        <v>0</v>
      </c>
      <c r="G1241" s="420"/>
      <c r="H1241" s="420"/>
      <c r="I1241" s="420"/>
      <c r="J1241" s="420"/>
      <c r="K1241" s="420"/>
      <c r="L1241" s="420"/>
      <c r="M1241" s="420"/>
      <c r="N1241" s="640">
        <f t="shared" si="41"/>
        <v>0</v>
      </c>
      <c r="O1241" s="640">
        <f t="shared" si="42"/>
        <v>0</v>
      </c>
      <c r="P1241" s="420"/>
      <c r="Q1241" s="420"/>
      <c r="R1241" s="420"/>
      <c r="S1241" s="420"/>
      <c r="T1241" s="420"/>
      <c r="U1241" s="420"/>
      <c r="V1241" s="420"/>
      <c r="W1241" s="420"/>
      <c r="X1241" s="420"/>
      <c r="Y1241" s="420"/>
      <c r="Z1241" s="420"/>
      <c r="AA1241" s="420"/>
      <c r="AB1241" s="420"/>
      <c r="AC1241" s="420"/>
      <c r="AD1241" s="420"/>
      <c r="AE1241" s="420"/>
      <c r="AF1241" s="420"/>
      <c r="AG1241" s="420"/>
      <c r="AH1241" s="420"/>
      <c r="AI1241" s="420"/>
      <c r="AJ1241" s="420"/>
      <c r="AK1241" s="420"/>
      <c r="AL1241" s="420"/>
      <c r="AM1241" s="420"/>
      <c r="AN1241" s="420"/>
      <c r="AO1241" s="420"/>
      <c r="AP1241" s="420"/>
      <c r="AQ1241" s="420"/>
      <c r="AR1241" s="420"/>
      <c r="AS1241" s="420"/>
      <c r="AT1241" s="420"/>
      <c r="AU1241" s="420"/>
      <c r="AV1241" s="420"/>
      <c r="AW1241" s="420"/>
      <c r="AX1241" s="420"/>
      <c r="AY1241" s="420"/>
      <c r="AZ1241" s="420"/>
      <c r="BA1241" s="420"/>
      <c r="BB1241" s="420"/>
      <c r="BC1241" s="420"/>
      <c r="BD1241" s="420"/>
      <c r="BE1241" s="420"/>
      <c r="BF1241" s="420"/>
      <c r="BG1241" s="420"/>
      <c r="BH1241" s="420"/>
      <c r="BI1241" s="420"/>
      <c r="BJ1241" s="420"/>
      <c r="BK1241" s="420"/>
      <c r="BL1241" s="420"/>
      <c r="BM1241" s="420"/>
      <c r="BN1241" s="420"/>
      <c r="BO1241" s="420"/>
      <c r="BP1241" s="420"/>
      <c r="BQ1241" s="420"/>
      <c r="BR1241" s="420"/>
      <c r="BS1241" s="420"/>
      <c r="BT1241" s="420"/>
      <c r="BU1241" s="420"/>
      <c r="BV1241" s="420"/>
      <c r="BW1241" s="420"/>
      <c r="BX1241" s="420"/>
      <c r="BY1241" s="420"/>
      <c r="BZ1241" s="420"/>
      <c r="CA1241" s="420"/>
      <c r="CB1241" s="420"/>
      <c r="CC1241" s="420"/>
      <c r="CD1241" s="420"/>
      <c r="CE1241" s="420"/>
      <c r="CF1241" s="420"/>
      <c r="CG1241" s="420"/>
      <c r="CH1241" s="420"/>
      <c r="CI1241" s="420"/>
      <c r="CJ1241" s="420"/>
      <c r="CK1241" s="420"/>
      <c r="CL1241" s="420"/>
      <c r="CM1241" s="420"/>
      <c r="CN1241" s="420"/>
      <c r="CO1241" s="420"/>
      <c r="CP1241" s="420"/>
      <c r="CQ1241" s="420"/>
      <c r="CR1241" s="420"/>
      <c r="CS1241" s="420"/>
      <c r="CT1241" s="420"/>
      <c r="CU1241" s="420"/>
      <c r="CV1241" s="420"/>
      <c r="CW1241" s="420"/>
      <c r="CX1241" s="420"/>
      <c r="CY1241" s="420"/>
      <c r="CZ1241" s="420"/>
      <c r="DA1241" s="420"/>
      <c r="DB1241" s="420"/>
      <c r="DC1241" s="420"/>
      <c r="DD1241" s="420"/>
      <c r="DE1241" s="420"/>
      <c r="DF1241" s="420"/>
      <c r="DG1241" s="420"/>
      <c r="DH1241" s="420"/>
      <c r="DI1241" s="420"/>
      <c r="DJ1241" s="420"/>
      <c r="DK1241" s="420"/>
      <c r="DL1241" s="420"/>
      <c r="DM1241" s="420"/>
      <c r="DN1241" s="420"/>
      <c r="DO1241" s="420"/>
      <c r="DP1241" s="420"/>
      <c r="DQ1241" s="420"/>
      <c r="DR1241" s="420"/>
      <c r="DS1241" s="420"/>
      <c r="DT1241" s="420"/>
      <c r="DU1241" s="420"/>
      <c r="DV1241" s="420"/>
      <c r="DW1241" s="420"/>
      <c r="DX1241" s="420"/>
      <c r="DY1241" s="420"/>
      <c r="DZ1241" s="420"/>
      <c r="EA1241" s="420"/>
      <c r="EB1241" s="420"/>
      <c r="EC1241" s="420"/>
      <c r="ED1241" s="420"/>
      <c r="EE1241" s="420"/>
      <c r="EF1241" s="420"/>
      <c r="EG1241" s="420"/>
      <c r="EH1241" s="420"/>
      <c r="EI1241" s="420"/>
      <c r="EJ1241" s="420"/>
      <c r="EK1241" s="420"/>
      <c r="EL1241" s="420"/>
      <c r="EM1241" s="420"/>
      <c r="EN1241" s="420"/>
      <c r="EO1241" s="420"/>
      <c r="EP1241" s="420"/>
      <c r="EQ1241" s="420"/>
      <c r="ER1241" s="420"/>
      <c r="ES1241" s="420"/>
      <c r="ET1241" s="420"/>
      <c r="EU1241" s="420"/>
      <c r="EV1241" s="420"/>
      <c r="EW1241" s="420"/>
      <c r="EX1241" s="420"/>
      <c r="EY1241" s="420"/>
      <c r="EZ1241" s="420"/>
      <c r="FA1241" s="420"/>
      <c r="FB1241" s="420"/>
      <c r="FC1241" s="420"/>
      <c r="FD1241" s="420"/>
      <c r="FE1241" s="420"/>
      <c r="FF1241" s="420"/>
      <c r="FG1241" s="420"/>
      <c r="FH1241" s="420"/>
      <c r="FI1241" s="420"/>
      <c r="FJ1241" s="420"/>
      <c r="FK1241" s="420"/>
      <c r="FL1241" s="420"/>
      <c r="FM1241" s="420"/>
      <c r="FN1241" s="420"/>
      <c r="FO1241" s="420"/>
      <c r="FP1241" s="420"/>
      <c r="FQ1241" s="420"/>
      <c r="FR1241" s="420"/>
      <c r="FS1241" s="420"/>
      <c r="FT1241" s="420"/>
      <c r="FU1241" s="420"/>
      <c r="FV1241" s="420"/>
      <c r="FW1241" s="420"/>
      <c r="FX1241" s="420"/>
      <c r="FY1241" s="420"/>
    </row>
    <row r="1242" spans="1:181" s="421" customFormat="1" ht="12.75">
      <c r="A1242" s="918" t="s">
        <v>875</v>
      </c>
      <c r="B1242" s="919" t="s">
        <v>876</v>
      </c>
      <c r="C1242" s="920" t="s">
        <v>47</v>
      </c>
      <c r="D1242" s="921">
        <v>4</v>
      </c>
      <c r="E1242" s="922"/>
      <c r="F1242" s="380">
        <f t="shared" si="40"/>
        <v>0</v>
      </c>
      <c r="G1242" s="420"/>
      <c r="H1242" s="420"/>
      <c r="I1242" s="420"/>
      <c r="J1242" s="420"/>
      <c r="K1242" s="420"/>
      <c r="L1242" s="420"/>
      <c r="M1242" s="420"/>
      <c r="N1242" s="640">
        <f t="shared" si="41"/>
        <v>0</v>
      </c>
      <c r="O1242" s="640">
        <f t="shared" si="42"/>
        <v>0</v>
      </c>
      <c r="P1242" s="420"/>
      <c r="Q1242" s="420"/>
      <c r="R1242" s="420"/>
      <c r="S1242" s="420"/>
      <c r="T1242" s="420"/>
      <c r="U1242" s="420"/>
      <c r="V1242" s="420"/>
      <c r="W1242" s="420"/>
      <c r="X1242" s="420"/>
      <c r="Y1242" s="420"/>
      <c r="Z1242" s="420"/>
      <c r="AA1242" s="420"/>
      <c r="AB1242" s="420"/>
      <c r="AC1242" s="420"/>
      <c r="AD1242" s="420"/>
      <c r="AE1242" s="420"/>
      <c r="AF1242" s="420"/>
      <c r="AG1242" s="420"/>
      <c r="AH1242" s="420"/>
      <c r="AI1242" s="420"/>
      <c r="AJ1242" s="420"/>
      <c r="AK1242" s="420"/>
      <c r="AL1242" s="420"/>
      <c r="AM1242" s="420"/>
      <c r="AN1242" s="420"/>
      <c r="AO1242" s="420"/>
      <c r="AP1242" s="420"/>
      <c r="AQ1242" s="420"/>
      <c r="AR1242" s="420"/>
      <c r="AS1242" s="420"/>
      <c r="AT1242" s="420"/>
      <c r="AU1242" s="420"/>
      <c r="AV1242" s="420"/>
      <c r="AW1242" s="420"/>
      <c r="AX1242" s="420"/>
      <c r="AY1242" s="420"/>
      <c r="AZ1242" s="420"/>
      <c r="BA1242" s="420"/>
      <c r="BB1242" s="420"/>
      <c r="BC1242" s="420"/>
      <c r="BD1242" s="420"/>
      <c r="BE1242" s="420"/>
      <c r="BF1242" s="420"/>
      <c r="BG1242" s="420"/>
      <c r="BH1242" s="420"/>
      <c r="BI1242" s="420"/>
      <c r="BJ1242" s="420"/>
      <c r="BK1242" s="420"/>
      <c r="BL1242" s="420"/>
      <c r="BM1242" s="420"/>
      <c r="BN1242" s="420"/>
      <c r="BO1242" s="420"/>
      <c r="BP1242" s="420"/>
      <c r="BQ1242" s="420"/>
      <c r="BR1242" s="420"/>
      <c r="BS1242" s="420"/>
      <c r="BT1242" s="420"/>
      <c r="BU1242" s="420"/>
      <c r="BV1242" s="420"/>
      <c r="BW1242" s="420"/>
      <c r="BX1242" s="420"/>
      <c r="BY1242" s="420"/>
      <c r="BZ1242" s="420"/>
      <c r="CA1242" s="420"/>
      <c r="CB1242" s="420"/>
      <c r="CC1242" s="420"/>
      <c r="CD1242" s="420"/>
      <c r="CE1242" s="420"/>
      <c r="CF1242" s="420"/>
      <c r="CG1242" s="420"/>
      <c r="CH1242" s="420"/>
      <c r="CI1242" s="420"/>
      <c r="CJ1242" s="420"/>
      <c r="CK1242" s="420"/>
      <c r="CL1242" s="420"/>
      <c r="CM1242" s="420"/>
      <c r="CN1242" s="420"/>
      <c r="CO1242" s="420"/>
      <c r="CP1242" s="420"/>
      <c r="CQ1242" s="420"/>
      <c r="CR1242" s="420"/>
      <c r="CS1242" s="420"/>
      <c r="CT1242" s="420"/>
      <c r="CU1242" s="420"/>
      <c r="CV1242" s="420"/>
      <c r="CW1242" s="420"/>
      <c r="CX1242" s="420"/>
      <c r="CY1242" s="420"/>
      <c r="CZ1242" s="420"/>
      <c r="DA1242" s="420"/>
      <c r="DB1242" s="420"/>
      <c r="DC1242" s="420"/>
      <c r="DD1242" s="420"/>
      <c r="DE1242" s="420"/>
      <c r="DF1242" s="420"/>
      <c r="DG1242" s="420"/>
      <c r="DH1242" s="420"/>
      <c r="DI1242" s="420"/>
      <c r="DJ1242" s="420"/>
      <c r="DK1242" s="420"/>
      <c r="DL1242" s="420"/>
      <c r="DM1242" s="420"/>
      <c r="DN1242" s="420"/>
      <c r="DO1242" s="420"/>
      <c r="DP1242" s="420"/>
      <c r="DQ1242" s="420"/>
      <c r="DR1242" s="420"/>
      <c r="DS1242" s="420"/>
      <c r="DT1242" s="420"/>
      <c r="DU1242" s="420"/>
      <c r="DV1242" s="420"/>
      <c r="DW1242" s="420"/>
      <c r="DX1242" s="420"/>
      <c r="DY1242" s="420"/>
      <c r="DZ1242" s="420"/>
      <c r="EA1242" s="420"/>
      <c r="EB1242" s="420"/>
      <c r="EC1242" s="420"/>
      <c r="ED1242" s="420"/>
      <c r="EE1242" s="420"/>
      <c r="EF1242" s="420"/>
      <c r="EG1242" s="420"/>
      <c r="EH1242" s="420"/>
      <c r="EI1242" s="420"/>
      <c r="EJ1242" s="420"/>
      <c r="EK1242" s="420"/>
      <c r="EL1242" s="420"/>
      <c r="EM1242" s="420"/>
      <c r="EN1242" s="420"/>
      <c r="EO1242" s="420"/>
      <c r="EP1242" s="420"/>
      <c r="EQ1242" s="420"/>
      <c r="ER1242" s="420"/>
      <c r="ES1242" s="420"/>
      <c r="ET1242" s="420"/>
      <c r="EU1242" s="420"/>
      <c r="EV1242" s="420"/>
      <c r="EW1242" s="420"/>
      <c r="EX1242" s="420"/>
      <c r="EY1242" s="420"/>
      <c r="EZ1242" s="420"/>
      <c r="FA1242" s="420"/>
      <c r="FB1242" s="420"/>
      <c r="FC1242" s="420"/>
      <c r="FD1242" s="420"/>
      <c r="FE1242" s="420"/>
      <c r="FF1242" s="420"/>
      <c r="FG1242" s="420"/>
      <c r="FH1242" s="420"/>
      <c r="FI1242" s="420"/>
      <c r="FJ1242" s="420"/>
      <c r="FK1242" s="420"/>
      <c r="FL1242" s="420"/>
      <c r="FM1242" s="420"/>
      <c r="FN1242" s="420"/>
      <c r="FO1242" s="420"/>
      <c r="FP1242" s="420"/>
      <c r="FQ1242" s="420"/>
      <c r="FR1242" s="420"/>
      <c r="FS1242" s="420"/>
      <c r="FT1242" s="420"/>
      <c r="FU1242" s="420"/>
      <c r="FV1242" s="420"/>
      <c r="FW1242" s="420"/>
      <c r="FX1242" s="420"/>
      <c r="FY1242" s="420"/>
    </row>
    <row r="1243" spans="1:181" s="421" customFormat="1" ht="12.75">
      <c r="A1243" s="918" t="s">
        <v>877</v>
      </c>
      <c r="B1243" s="919" t="s">
        <v>878</v>
      </c>
      <c r="C1243" s="920" t="s">
        <v>47</v>
      </c>
      <c r="D1243" s="921">
        <v>1</v>
      </c>
      <c r="E1243" s="922"/>
      <c r="F1243" s="380">
        <f t="shared" si="40"/>
        <v>0</v>
      </c>
      <c r="G1243" s="420"/>
      <c r="H1243" s="420"/>
      <c r="I1243" s="420"/>
      <c r="J1243" s="420"/>
      <c r="K1243" s="420"/>
      <c r="L1243" s="420"/>
      <c r="M1243" s="420"/>
      <c r="N1243" s="640">
        <f t="shared" si="41"/>
        <v>0</v>
      </c>
      <c r="O1243" s="640">
        <f t="shared" si="42"/>
        <v>0</v>
      </c>
      <c r="P1243" s="420"/>
      <c r="Q1243" s="420"/>
      <c r="R1243" s="420"/>
      <c r="S1243" s="420"/>
      <c r="T1243" s="420"/>
      <c r="U1243" s="420"/>
      <c r="V1243" s="420"/>
      <c r="W1243" s="420"/>
      <c r="X1243" s="420"/>
      <c r="Y1243" s="420"/>
      <c r="Z1243" s="420"/>
      <c r="AA1243" s="420"/>
      <c r="AB1243" s="420"/>
      <c r="AC1243" s="420"/>
      <c r="AD1243" s="420"/>
      <c r="AE1243" s="420"/>
      <c r="AF1243" s="420"/>
      <c r="AG1243" s="420"/>
      <c r="AH1243" s="420"/>
      <c r="AI1243" s="420"/>
      <c r="AJ1243" s="420"/>
      <c r="AK1243" s="420"/>
      <c r="AL1243" s="420"/>
      <c r="AM1243" s="420"/>
      <c r="AN1243" s="420"/>
      <c r="AO1243" s="420"/>
      <c r="AP1243" s="420"/>
      <c r="AQ1243" s="420"/>
      <c r="AR1243" s="420"/>
      <c r="AS1243" s="420"/>
      <c r="AT1243" s="420"/>
      <c r="AU1243" s="420"/>
      <c r="AV1243" s="420"/>
      <c r="AW1243" s="420"/>
      <c r="AX1243" s="420"/>
      <c r="AY1243" s="420"/>
      <c r="AZ1243" s="420"/>
      <c r="BA1243" s="420"/>
      <c r="BB1243" s="420"/>
      <c r="BC1243" s="420"/>
      <c r="BD1243" s="420"/>
      <c r="BE1243" s="420"/>
      <c r="BF1243" s="420"/>
      <c r="BG1243" s="420"/>
      <c r="BH1243" s="420"/>
      <c r="BI1243" s="420"/>
      <c r="BJ1243" s="420"/>
      <c r="BK1243" s="420"/>
      <c r="BL1243" s="420"/>
      <c r="BM1243" s="420"/>
      <c r="BN1243" s="420"/>
      <c r="BO1243" s="420"/>
      <c r="BP1243" s="420"/>
      <c r="BQ1243" s="420"/>
      <c r="BR1243" s="420"/>
      <c r="BS1243" s="420"/>
      <c r="BT1243" s="420"/>
      <c r="BU1243" s="420"/>
      <c r="BV1243" s="420"/>
      <c r="BW1243" s="420"/>
      <c r="BX1243" s="420"/>
      <c r="BY1243" s="420"/>
      <c r="BZ1243" s="420"/>
      <c r="CA1243" s="420"/>
      <c r="CB1243" s="420"/>
      <c r="CC1243" s="420"/>
      <c r="CD1243" s="420"/>
      <c r="CE1243" s="420"/>
      <c r="CF1243" s="420"/>
      <c r="CG1243" s="420"/>
      <c r="CH1243" s="420"/>
      <c r="CI1243" s="420"/>
      <c r="CJ1243" s="420"/>
      <c r="CK1243" s="420"/>
      <c r="CL1243" s="420"/>
      <c r="CM1243" s="420"/>
      <c r="CN1243" s="420"/>
      <c r="CO1243" s="420"/>
      <c r="CP1243" s="420"/>
      <c r="CQ1243" s="420"/>
      <c r="CR1243" s="420"/>
      <c r="CS1243" s="420"/>
      <c r="CT1243" s="420"/>
      <c r="CU1243" s="420"/>
      <c r="CV1243" s="420"/>
      <c r="CW1243" s="420"/>
      <c r="CX1243" s="420"/>
      <c r="CY1243" s="420"/>
      <c r="CZ1243" s="420"/>
      <c r="DA1243" s="420"/>
      <c r="DB1243" s="420"/>
      <c r="DC1243" s="420"/>
      <c r="DD1243" s="420"/>
      <c r="DE1243" s="420"/>
      <c r="DF1243" s="420"/>
      <c r="DG1243" s="420"/>
      <c r="DH1243" s="420"/>
      <c r="DI1243" s="420"/>
      <c r="DJ1243" s="420"/>
      <c r="DK1243" s="420"/>
      <c r="DL1243" s="420"/>
      <c r="DM1243" s="420"/>
      <c r="DN1243" s="420"/>
      <c r="DO1243" s="420"/>
      <c r="DP1243" s="420"/>
      <c r="DQ1243" s="420"/>
      <c r="DR1243" s="420"/>
      <c r="DS1243" s="420"/>
      <c r="DT1243" s="420"/>
      <c r="DU1243" s="420"/>
      <c r="DV1243" s="420"/>
      <c r="DW1243" s="420"/>
      <c r="DX1243" s="420"/>
      <c r="DY1243" s="420"/>
      <c r="DZ1243" s="420"/>
      <c r="EA1243" s="420"/>
      <c r="EB1243" s="420"/>
      <c r="EC1243" s="420"/>
      <c r="ED1243" s="420"/>
      <c r="EE1243" s="420"/>
      <c r="EF1243" s="420"/>
      <c r="EG1243" s="420"/>
      <c r="EH1243" s="420"/>
      <c r="EI1243" s="420"/>
      <c r="EJ1243" s="420"/>
      <c r="EK1243" s="420"/>
      <c r="EL1243" s="420"/>
      <c r="EM1243" s="420"/>
      <c r="EN1243" s="420"/>
      <c r="EO1243" s="420"/>
      <c r="EP1243" s="420"/>
      <c r="EQ1243" s="420"/>
      <c r="ER1243" s="420"/>
      <c r="ES1243" s="420"/>
      <c r="ET1243" s="420"/>
      <c r="EU1243" s="420"/>
      <c r="EV1243" s="420"/>
      <c r="EW1243" s="420"/>
      <c r="EX1243" s="420"/>
      <c r="EY1243" s="420"/>
      <c r="EZ1243" s="420"/>
      <c r="FA1243" s="420"/>
      <c r="FB1243" s="420"/>
      <c r="FC1243" s="420"/>
      <c r="FD1243" s="420"/>
      <c r="FE1243" s="420"/>
      <c r="FF1243" s="420"/>
      <c r="FG1243" s="420"/>
      <c r="FH1243" s="420"/>
      <c r="FI1243" s="420"/>
      <c r="FJ1243" s="420"/>
      <c r="FK1243" s="420"/>
      <c r="FL1243" s="420"/>
      <c r="FM1243" s="420"/>
      <c r="FN1243" s="420"/>
      <c r="FO1243" s="420"/>
      <c r="FP1243" s="420"/>
      <c r="FQ1243" s="420"/>
      <c r="FR1243" s="420"/>
      <c r="FS1243" s="420"/>
      <c r="FT1243" s="420"/>
      <c r="FU1243" s="420"/>
      <c r="FV1243" s="420"/>
      <c r="FW1243" s="420"/>
      <c r="FX1243" s="420"/>
      <c r="FY1243" s="420"/>
    </row>
    <row r="1244" spans="1:181" s="421" customFormat="1" ht="12.75">
      <c r="A1244" s="918" t="s">
        <v>879</v>
      </c>
      <c r="B1244" s="919" t="s">
        <v>880</v>
      </c>
      <c r="C1244" s="920" t="s">
        <v>350</v>
      </c>
      <c r="D1244" s="921">
        <v>10</v>
      </c>
      <c r="E1244" s="922"/>
      <c r="F1244" s="380">
        <f t="shared" si="40"/>
        <v>0</v>
      </c>
      <c r="G1244" s="420"/>
      <c r="H1244" s="420"/>
      <c r="I1244" s="420"/>
      <c r="J1244" s="420"/>
      <c r="K1244" s="420"/>
      <c r="L1244" s="420"/>
      <c r="M1244" s="420"/>
      <c r="N1244" s="640">
        <f t="shared" si="41"/>
        <v>0</v>
      </c>
      <c r="O1244" s="640">
        <f t="shared" si="42"/>
        <v>0</v>
      </c>
      <c r="P1244" s="420"/>
      <c r="Q1244" s="420"/>
      <c r="R1244" s="420"/>
      <c r="S1244" s="420"/>
      <c r="T1244" s="420"/>
      <c r="U1244" s="420"/>
      <c r="V1244" s="420"/>
      <c r="W1244" s="420"/>
      <c r="X1244" s="420"/>
      <c r="Y1244" s="420"/>
      <c r="Z1244" s="420"/>
      <c r="AA1244" s="420"/>
      <c r="AB1244" s="420"/>
      <c r="AC1244" s="420"/>
      <c r="AD1244" s="420"/>
      <c r="AE1244" s="420"/>
      <c r="AF1244" s="420"/>
      <c r="AG1244" s="420"/>
      <c r="AH1244" s="420"/>
      <c r="AI1244" s="420"/>
      <c r="AJ1244" s="420"/>
      <c r="AK1244" s="420"/>
      <c r="AL1244" s="420"/>
      <c r="AM1244" s="420"/>
      <c r="AN1244" s="420"/>
      <c r="AO1244" s="420"/>
      <c r="AP1244" s="420"/>
      <c r="AQ1244" s="420"/>
      <c r="AR1244" s="420"/>
      <c r="AS1244" s="420"/>
      <c r="AT1244" s="420"/>
      <c r="AU1244" s="420"/>
      <c r="AV1244" s="420"/>
      <c r="AW1244" s="420"/>
      <c r="AX1244" s="420"/>
      <c r="AY1244" s="420"/>
      <c r="AZ1244" s="420"/>
      <c r="BA1244" s="420"/>
      <c r="BB1244" s="420"/>
      <c r="BC1244" s="420"/>
      <c r="BD1244" s="420"/>
      <c r="BE1244" s="420"/>
      <c r="BF1244" s="420"/>
      <c r="BG1244" s="420"/>
      <c r="BH1244" s="420"/>
      <c r="BI1244" s="420"/>
      <c r="BJ1244" s="420"/>
      <c r="BK1244" s="420"/>
      <c r="BL1244" s="420"/>
      <c r="BM1244" s="420"/>
      <c r="BN1244" s="420"/>
      <c r="BO1244" s="420"/>
      <c r="BP1244" s="420"/>
      <c r="BQ1244" s="420"/>
      <c r="BR1244" s="420"/>
      <c r="BS1244" s="420"/>
      <c r="BT1244" s="420"/>
      <c r="BU1244" s="420"/>
      <c r="BV1244" s="420"/>
      <c r="BW1244" s="420"/>
      <c r="BX1244" s="420"/>
      <c r="BY1244" s="420"/>
      <c r="BZ1244" s="420"/>
      <c r="CA1244" s="420"/>
      <c r="CB1244" s="420"/>
      <c r="CC1244" s="420"/>
      <c r="CD1244" s="420"/>
      <c r="CE1244" s="420"/>
      <c r="CF1244" s="420"/>
      <c r="CG1244" s="420"/>
      <c r="CH1244" s="420"/>
      <c r="CI1244" s="420"/>
      <c r="CJ1244" s="420"/>
      <c r="CK1244" s="420"/>
      <c r="CL1244" s="420"/>
      <c r="CM1244" s="420"/>
      <c r="CN1244" s="420"/>
      <c r="CO1244" s="420"/>
      <c r="CP1244" s="420"/>
      <c r="CQ1244" s="420"/>
      <c r="CR1244" s="420"/>
      <c r="CS1244" s="420"/>
      <c r="CT1244" s="420"/>
      <c r="CU1244" s="420"/>
      <c r="CV1244" s="420"/>
      <c r="CW1244" s="420"/>
      <c r="CX1244" s="420"/>
      <c r="CY1244" s="420"/>
      <c r="CZ1244" s="420"/>
      <c r="DA1244" s="420"/>
      <c r="DB1244" s="420"/>
      <c r="DC1244" s="420"/>
      <c r="DD1244" s="420"/>
      <c r="DE1244" s="420"/>
      <c r="DF1244" s="420"/>
      <c r="DG1244" s="420"/>
      <c r="DH1244" s="420"/>
      <c r="DI1244" s="420"/>
      <c r="DJ1244" s="420"/>
      <c r="DK1244" s="420"/>
      <c r="DL1244" s="420"/>
      <c r="DM1244" s="420"/>
      <c r="DN1244" s="420"/>
      <c r="DO1244" s="420"/>
      <c r="DP1244" s="420"/>
      <c r="DQ1244" s="420"/>
      <c r="DR1244" s="420"/>
      <c r="DS1244" s="420"/>
      <c r="DT1244" s="420"/>
      <c r="DU1244" s="420"/>
      <c r="DV1244" s="420"/>
      <c r="DW1244" s="420"/>
      <c r="DX1244" s="420"/>
      <c r="DY1244" s="420"/>
      <c r="DZ1244" s="420"/>
      <c r="EA1244" s="420"/>
      <c r="EB1244" s="420"/>
      <c r="EC1244" s="420"/>
      <c r="ED1244" s="420"/>
      <c r="EE1244" s="420"/>
      <c r="EF1244" s="420"/>
      <c r="EG1244" s="420"/>
      <c r="EH1244" s="420"/>
      <c r="EI1244" s="420"/>
      <c r="EJ1244" s="420"/>
      <c r="EK1244" s="420"/>
      <c r="EL1244" s="420"/>
      <c r="EM1244" s="420"/>
      <c r="EN1244" s="420"/>
      <c r="EO1244" s="420"/>
      <c r="EP1244" s="420"/>
      <c r="EQ1244" s="420"/>
      <c r="ER1244" s="420"/>
      <c r="ES1244" s="420"/>
      <c r="ET1244" s="420"/>
      <c r="EU1244" s="420"/>
      <c r="EV1244" s="420"/>
      <c r="EW1244" s="420"/>
      <c r="EX1244" s="420"/>
      <c r="EY1244" s="420"/>
      <c r="EZ1244" s="420"/>
      <c r="FA1244" s="420"/>
      <c r="FB1244" s="420"/>
      <c r="FC1244" s="420"/>
      <c r="FD1244" s="420"/>
      <c r="FE1244" s="420"/>
      <c r="FF1244" s="420"/>
      <c r="FG1244" s="420"/>
      <c r="FH1244" s="420"/>
      <c r="FI1244" s="420"/>
      <c r="FJ1244" s="420"/>
      <c r="FK1244" s="420"/>
      <c r="FL1244" s="420"/>
      <c r="FM1244" s="420"/>
      <c r="FN1244" s="420"/>
      <c r="FO1244" s="420"/>
      <c r="FP1244" s="420"/>
      <c r="FQ1244" s="420"/>
      <c r="FR1244" s="420"/>
      <c r="FS1244" s="420"/>
      <c r="FT1244" s="420"/>
      <c r="FU1244" s="420"/>
      <c r="FV1244" s="420"/>
      <c r="FW1244" s="420"/>
      <c r="FX1244" s="420"/>
      <c r="FY1244" s="420"/>
    </row>
    <row r="1245" spans="1:181" s="421" customFormat="1" ht="12.75">
      <c r="A1245" s="918" t="s">
        <v>881</v>
      </c>
      <c r="B1245" s="919" t="s">
        <v>882</v>
      </c>
      <c r="C1245" s="920" t="s">
        <v>350</v>
      </c>
      <c r="D1245" s="921">
        <v>10</v>
      </c>
      <c r="E1245" s="922"/>
      <c r="F1245" s="380">
        <f t="shared" si="40"/>
        <v>0</v>
      </c>
      <c r="G1245" s="420"/>
      <c r="H1245" s="420"/>
      <c r="I1245" s="420"/>
      <c r="J1245" s="420"/>
      <c r="K1245" s="420"/>
      <c r="L1245" s="420"/>
      <c r="M1245" s="420"/>
      <c r="N1245" s="640">
        <f t="shared" si="41"/>
        <v>0</v>
      </c>
      <c r="O1245" s="640">
        <f t="shared" si="42"/>
        <v>0</v>
      </c>
      <c r="P1245" s="420"/>
      <c r="Q1245" s="420"/>
      <c r="R1245" s="420"/>
      <c r="S1245" s="420"/>
      <c r="T1245" s="420"/>
      <c r="U1245" s="420"/>
      <c r="V1245" s="420"/>
      <c r="W1245" s="420"/>
      <c r="X1245" s="420"/>
      <c r="Y1245" s="420"/>
      <c r="Z1245" s="420"/>
      <c r="AA1245" s="420"/>
      <c r="AB1245" s="420"/>
      <c r="AC1245" s="420"/>
      <c r="AD1245" s="420"/>
      <c r="AE1245" s="420"/>
      <c r="AF1245" s="420"/>
      <c r="AG1245" s="420"/>
      <c r="AH1245" s="420"/>
      <c r="AI1245" s="420"/>
      <c r="AJ1245" s="420"/>
      <c r="AK1245" s="420"/>
      <c r="AL1245" s="420"/>
      <c r="AM1245" s="420"/>
      <c r="AN1245" s="420"/>
      <c r="AO1245" s="420"/>
      <c r="AP1245" s="420"/>
      <c r="AQ1245" s="420"/>
      <c r="AR1245" s="420"/>
      <c r="AS1245" s="420"/>
      <c r="AT1245" s="420"/>
      <c r="AU1245" s="420"/>
      <c r="AV1245" s="420"/>
      <c r="AW1245" s="420"/>
      <c r="AX1245" s="420"/>
      <c r="AY1245" s="420"/>
      <c r="AZ1245" s="420"/>
      <c r="BA1245" s="420"/>
      <c r="BB1245" s="420"/>
      <c r="BC1245" s="420"/>
      <c r="BD1245" s="420"/>
      <c r="BE1245" s="420"/>
      <c r="BF1245" s="420"/>
      <c r="BG1245" s="420"/>
      <c r="BH1245" s="420"/>
      <c r="BI1245" s="420"/>
      <c r="BJ1245" s="420"/>
      <c r="BK1245" s="420"/>
      <c r="BL1245" s="420"/>
      <c r="BM1245" s="420"/>
      <c r="BN1245" s="420"/>
      <c r="BO1245" s="420"/>
      <c r="BP1245" s="420"/>
      <c r="BQ1245" s="420"/>
      <c r="BR1245" s="420"/>
      <c r="BS1245" s="420"/>
      <c r="BT1245" s="420"/>
      <c r="BU1245" s="420"/>
      <c r="BV1245" s="420"/>
      <c r="BW1245" s="420"/>
      <c r="BX1245" s="420"/>
      <c r="BY1245" s="420"/>
      <c r="BZ1245" s="420"/>
      <c r="CA1245" s="420"/>
      <c r="CB1245" s="420"/>
      <c r="CC1245" s="420"/>
      <c r="CD1245" s="420"/>
      <c r="CE1245" s="420"/>
      <c r="CF1245" s="420"/>
      <c r="CG1245" s="420"/>
      <c r="CH1245" s="420"/>
      <c r="CI1245" s="420"/>
      <c r="CJ1245" s="420"/>
      <c r="CK1245" s="420"/>
      <c r="CL1245" s="420"/>
      <c r="CM1245" s="420"/>
      <c r="CN1245" s="420"/>
      <c r="CO1245" s="420"/>
      <c r="CP1245" s="420"/>
      <c r="CQ1245" s="420"/>
      <c r="CR1245" s="420"/>
      <c r="CS1245" s="420"/>
      <c r="CT1245" s="420"/>
      <c r="CU1245" s="420"/>
      <c r="CV1245" s="420"/>
      <c r="CW1245" s="420"/>
      <c r="CX1245" s="420"/>
      <c r="CY1245" s="420"/>
      <c r="CZ1245" s="420"/>
      <c r="DA1245" s="420"/>
      <c r="DB1245" s="420"/>
      <c r="DC1245" s="420"/>
      <c r="DD1245" s="420"/>
      <c r="DE1245" s="420"/>
      <c r="DF1245" s="420"/>
      <c r="DG1245" s="420"/>
      <c r="DH1245" s="420"/>
      <c r="DI1245" s="420"/>
      <c r="DJ1245" s="420"/>
      <c r="DK1245" s="420"/>
      <c r="DL1245" s="420"/>
      <c r="DM1245" s="420"/>
      <c r="DN1245" s="420"/>
      <c r="DO1245" s="420"/>
      <c r="DP1245" s="420"/>
      <c r="DQ1245" s="420"/>
      <c r="DR1245" s="420"/>
      <c r="DS1245" s="420"/>
      <c r="DT1245" s="420"/>
      <c r="DU1245" s="420"/>
      <c r="DV1245" s="420"/>
      <c r="DW1245" s="420"/>
      <c r="DX1245" s="420"/>
      <c r="DY1245" s="420"/>
      <c r="DZ1245" s="420"/>
      <c r="EA1245" s="420"/>
      <c r="EB1245" s="420"/>
      <c r="EC1245" s="420"/>
      <c r="ED1245" s="420"/>
      <c r="EE1245" s="420"/>
      <c r="EF1245" s="420"/>
      <c r="EG1245" s="420"/>
      <c r="EH1245" s="420"/>
      <c r="EI1245" s="420"/>
      <c r="EJ1245" s="420"/>
      <c r="EK1245" s="420"/>
      <c r="EL1245" s="420"/>
      <c r="EM1245" s="420"/>
      <c r="EN1245" s="420"/>
      <c r="EO1245" s="420"/>
      <c r="EP1245" s="420"/>
      <c r="EQ1245" s="420"/>
      <c r="ER1245" s="420"/>
      <c r="ES1245" s="420"/>
      <c r="ET1245" s="420"/>
      <c r="EU1245" s="420"/>
      <c r="EV1245" s="420"/>
      <c r="EW1245" s="420"/>
      <c r="EX1245" s="420"/>
      <c r="EY1245" s="420"/>
      <c r="EZ1245" s="420"/>
      <c r="FA1245" s="420"/>
      <c r="FB1245" s="420"/>
      <c r="FC1245" s="420"/>
      <c r="FD1245" s="420"/>
      <c r="FE1245" s="420"/>
      <c r="FF1245" s="420"/>
      <c r="FG1245" s="420"/>
      <c r="FH1245" s="420"/>
      <c r="FI1245" s="420"/>
      <c r="FJ1245" s="420"/>
      <c r="FK1245" s="420"/>
      <c r="FL1245" s="420"/>
      <c r="FM1245" s="420"/>
      <c r="FN1245" s="420"/>
      <c r="FO1245" s="420"/>
      <c r="FP1245" s="420"/>
      <c r="FQ1245" s="420"/>
      <c r="FR1245" s="420"/>
      <c r="FS1245" s="420"/>
      <c r="FT1245" s="420"/>
      <c r="FU1245" s="420"/>
      <c r="FV1245" s="420"/>
      <c r="FW1245" s="420"/>
      <c r="FX1245" s="420"/>
      <c r="FY1245" s="420"/>
    </row>
    <row r="1246" spans="1:181" s="421" customFormat="1" ht="12.75">
      <c r="A1246" s="918" t="s">
        <v>883</v>
      </c>
      <c r="B1246" s="919" t="s">
        <v>884</v>
      </c>
      <c r="C1246" s="920" t="s">
        <v>47</v>
      </c>
      <c r="D1246" s="921">
        <v>2</v>
      </c>
      <c r="E1246" s="922"/>
      <c r="F1246" s="380">
        <f t="shared" si="40"/>
        <v>0</v>
      </c>
      <c r="G1246" s="420"/>
      <c r="H1246" s="420"/>
      <c r="I1246" s="420"/>
      <c r="J1246" s="420"/>
      <c r="K1246" s="420"/>
      <c r="L1246" s="420"/>
      <c r="M1246" s="420"/>
      <c r="N1246" s="640">
        <f t="shared" si="41"/>
        <v>0</v>
      </c>
      <c r="O1246" s="640">
        <f t="shared" si="42"/>
        <v>0</v>
      </c>
      <c r="P1246" s="420"/>
      <c r="Q1246" s="420"/>
      <c r="R1246" s="420"/>
      <c r="S1246" s="420"/>
      <c r="T1246" s="420"/>
      <c r="U1246" s="420"/>
      <c r="V1246" s="420"/>
      <c r="W1246" s="420"/>
      <c r="X1246" s="420"/>
      <c r="Y1246" s="420"/>
      <c r="Z1246" s="420"/>
      <c r="AA1246" s="420"/>
      <c r="AB1246" s="420"/>
      <c r="AC1246" s="420"/>
      <c r="AD1246" s="420"/>
      <c r="AE1246" s="420"/>
      <c r="AF1246" s="420"/>
      <c r="AG1246" s="420"/>
      <c r="AH1246" s="420"/>
      <c r="AI1246" s="420"/>
      <c r="AJ1246" s="420"/>
      <c r="AK1246" s="420"/>
      <c r="AL1246" s="420"/>
      <c r="AM1246" s="420"/>
      <c r="AN1246" s="420"/>
      <c r="AO1246" s="420"/>
      <c r="AP1246" s="420"/>
      <c r="AQ1246" s="420"/>
      <c r="AR1246" s="420"/>
      <c r="AS1246" s="420"/>
      <c r="AT1246" s="420"/>
      <c r="AU1246" s="420"/>
      <c r="AV1246" s="420"/>
      <c r="AW1246" s="420"/>
      <c r="AX1246" s="420"/>
      <c r="AY1246" s="420"/>
      <c r="AZ1246" s="420"/>
      <c r="BA1246" s="420"/>
      <c r="BB1246" s="420"/>
      <c r="BC1246" s="420"/>
      <c r="BD1246" s="420"/>
      <c r="BE1246" s="420"/>
      <c r="BF1246" s="420"/>
      <c r="BG1246" s="420"/>
      <c r="BH1246" s="420"/>
      <c r="BI1246" s="420"/>
      <c r="BJ1246" s="420"/>
      <c r="BK1246" s="420"/>
      <c r="BL1246" s="420"/>
      <c r="BM1246" s="420"/>
      <c r="BN1246" s="420"/>
      <c r="BO1246" s="420"/>
      <c r="BP1246" s="420"/>
      <c r="BQ1246" s="420"/>
      <c r="BR1246" s="420"/>
      <c r="BS1246" s="420"/>
      <c r="BT1246" s="420"/>
      <c r="BU1246" s="420"/>
      <c r="BV1246" s="420"/>
      <c r="BW1246" s="420"/>
      <c r="BX1246" s="420"/>
      <c r="BY1246" s="420"/>
      <c r="BZ1246" s="420"/>
      <c r="CA1246" s="420"/>
      <c r="CB1246" s="420"/>
      <c r="CC1246" s="420"/>
      <c r="CD1246" s="420"/>
      <c r="CE1246" s="420"/>
      <c r="CF1246" s="420"/>
      <c r="CG1246" s="420"/>
      <c r="CH1246" s="420"/>
      <c r="CI1246" s="420"/>
      <c r="CJ1246" s="420"/>
      <c r="CK1246" s="420"/>
      <c r="CL1246" s="420"/>
      <c r="CM1246" s="420"/>
      <c r="CN1246" s="420"/>
      <c r="CO1246" s="420"/>
      <c r="CP1246" s="420"/>
      <c r="CQ1246" s="420"/>
      <c r="CR1246" s="420"/>
      <c r="CS1246" s="420"/>
      <c r="CT1246" s="420"/>
      <c r="CU1246" s="420"/>
      <c r="CV1246" s="420"/>
      <c r="CW1246" s="420"/>
      <c r="CX1246" s="420"/>
      <c r="CY1246" s="420"/>
      <c r="CZ1246" s="420"/>
      <c r="DA1246" s="420"/>
      <c r="DB1246" s="420"/>
      <c r="DC1246" s="420"/>
      <c r="DD1246" s="420"/>
      <c r="DE1246" s="420"/>
      <c r="DF1246" s="420"/>
      <c r="DG1246" s="420"/>
      <c r="DH1246" s="420"/>
      <c r="DI1246" s="420"/>
      <c r="DJ1246" s="420"/>
      <c r="DK1246" s="420"/>
      <c r="DL1246" s="420"/>
      <c r="DM1246" s="420"/>
      <c r="DN1246" s="420"/>
      <c r="DO1246" s="420"/>
      <c r="DP1246" s="420"/>
      <c r="DQ1246" s="420"/>
      <c r="DR1246" s="420"/>
      <c r="DS1246" s="420"/>
      <c r="DT1246" s="420"/>
      <c r="DU1246" s="420"/>
      <c r="DV1246" s="420"/>
      <c r="DW1246" s="420"/>
      <c r="DX1246" s="420"/>
      <c r="DY1246" s="420"/>
      <c r="DZ1246" s="420"/>
      <c r="EA1246" s="420"/>
      <c r="EB1246" s="420"/>
      <c r="EC1246" s="420"/>
      <c r="ED1246" s="420"/>
      <c r="EE1246" s="420"/>
      <c r="EF1246" s="420"/>
      <c r="EG1246" s="420"/>
      <c r="EH1246" s="420"/>
      <c r="EI1246" s="420"/>
      <c r="EJ1246" s="420"/>
      <c r="EK1246" s="420"/>
      <c r="EL1246" s="420"/>
      <c r="EM1246" s="420"/>
      <c r="EN1246" s="420"/>
      <c r="EO1246" s="420"/>
      <c r="EP1246" s="420"/>
      <c r="EQ1246" s="420"/>
      <c r="ER1246" s="420"/>
      <c r="ES1246" s="420"/>
      <c r="ET1246" s="420"/>
      <c r="EU1246" s="420"/>
      <c r="EV1246" s="420"/>
      <c r="EW1246" s="420"/>
      <c r="EX1246" s="420"/>
      <c r="EY1246" s="420"/>
      <c r="EZ1246" s="420"/>
      <c r="FA1246" s="420"/>
      <c r="FB1246" s="420"/>
      <c r="FC1246" s="420"/>
      <c r="FD1246" s="420"/>
      <c r="FE1246" s="420"/>
      <c r="FF1246" s="420"/>
      <c r="FG1246" s="420"/>
      <c r="FH1246" s="420"/>
      <c r="FI1246" s="420"/>
      <c r="FJ1246" s="420"/>
      <c r="FK1246" s="420"/>
      <c r="FL1246" s="420"/>
      <c r="FM1246" s="420"/>
      <c r="FN1246" s="420"/>
      <c r="FO1246" s="420"/>
      <c r="FP1246" s="420"/>
      <c r="FQ1246" s="420"/>
      <c r="FR1246" s="420"/>
      <c r="FS1246" s="420"/>
      <c r="FT1246" s="420"/>
      <c r="FU1246" s="420"/>
      <c r="FV1246" s="420"/>
      <c r="FW1246" s="420"/>
      <c r="FX1246" s="420"/>
      <c r="FY1246" s="420"/>
    </row>
    <row r="1247" spans="1:181" s="421" customFormat="1" ht="12.75">
      <c r="A1247" s="918" t="s">
        <v>885</v>
      </c>
      <c r="B1247" s="919" t="s">
        <v>886</v>
      </c>
      <c r="C1247" s="920" t="s">
        <v>47</v>
      </c>
      <c r="D1247" s="921">
        <v>2</v>
      </c>
      <c r="E1247" s="922"/>
      <c r="F1247" s="380">
        <f t="shared" si="40"/>
        <v>0</v>
      </c>
      <c r="G1247" s="420"/>
      <c r="H1247" s="420"/>
      <c r="I1247" s="420"/>
      <c r="J1247" s="420"/>
      <c r="K1247" s="420"/>
      <c r="L1247" s="420"/>
      <c r="M1247" s="420"/>
      <c r="N1247" s="640">
        <f t="shared" si="41"/>
        <v>0</v>
      </c>
      <c r="O1247" s="640">
        <f t="shared" si="42"/>
        <v>0</v>
      </c>
      <c r="P1247" s="420"/>
      <c r="Q1247" s="420"/>
      <c r="R1247" s="420"/>
      <c r="S1247" s="420"/>
      <c r="T1247" s="420"/>
      <c r="U1247" s="420"/>
      <c r="V1247" s="420"/>
      <c r="W1247" s="420"/>
      <c r="X1247" s="420"/>
      <c r="Y1247" s="420"/>
      <c r="Z1247" s="420"/>
      <c r="AA1247" s="420"/>
      <c r="AB1247" s="420"/>
      <c r="AC1247" s="420"/>
      <c r="AD1247" s="420"/>
      <c r="AE1247" s="420"/>
      <c r="AF1247" s="420"/>
      <c r="AG1247" s="420"/>
      <c r="AH1247" s="420"/>
      <c r="AI1247" s="420"/>
      <c r="AJ1247" s="420"/>
      <c r="AK1247" s="420"/>
      <c r="AL1247" s="420"/>
      <c r="AM1247" s="420"/>
      <c r="AN1247" s="420"/>
      <c r="AO1247" s="420"/>
      <c r="AP1247" s="420"/>
      <c r="AQ1247" s="420"/>
      <c r="AR1247" s="420"/>
      <c r="AS1247" s="420"/>
      <c r="AT1247" s="420"/>
      <c r="AU1247" s="420"/>
      <c r="AV1247" s="420"/>
      <c r="AW1247" s="420"/>
      <c r="AX1247" s="420"/>
      <c r="AY1247" s="420"/>
      <c r="AZ1247" s="420"/>
      <c r="BA1247" s="420"/>
      <c r="BB1247" s="420"/>
      <c r="BC1247" s="420"/>
      <c r="BD1247" s="420"/>
      <c r="BE1247" s="420"/>
      <c r="BF1247" s="420"/>
      <c r="BG1247" s="420"/>
      <c r="BH1247" s="420"/>
      <c r="BI1247" s="420"/>
      <c r="BJ1247" s="420"/>
      <c r="BK1247" s="420"/>
      <c r="BL1247" s="420"/>
      <c r="BM1247" s="420"/>
      <c r="BN1247" s="420"/>
      <c r="BO1247" s="420"/>
      <c r="BP1247" s="420"/>
      <c r="BQ1247" s="420"/>
      <c r="BR1247" s="420"/>
      <c r="BS1247" s="420"/>
      <c r="BT1247" s="420"/>
      <c r="BU1247" s="420"/>
      <c r="BV1247" s="420"/>
      <c r="BW1247" s="420"/>
      <c r="BX1247" s="420"/>
      <c r="BY1247" s="420"/>
      <c r="BZ1247" s="420"/>
      <c r="CA1247" s="420"/>
      <c r="CB1247" s="420"/>
      <c r="CC1247" s="420"/>
      <c r="CD1247" s="420"/>
      <c r="CE1247" s="420"/>
      <c r="CF1247" s="420"/>
      <c r="CG1247" s="420"/>
      <c r="CH1247" s="420"/>
      <c r="CI1247" s="420"/>
      <c r="CJ1247" s="420"/>
      <c r="CK1247" s="420"/>
      <c r="CL1247" s="420"/>
      <c r="CM1247" s="420"/>
      <c r="CN1247" s="420"/>
      <c r="CO1247" s="420"/>
      <c r="CP1247" s="420"/>
      <c r="CQ1247" s="420"/>
      <c r="CR1247" s="420"/>
      <c r="CS1247" s="420"/>
      <c r="CT1247" s="420"/>
      <c r="CU1247" s="420"/>
      <c r="CV1247" s="420"/>
      <c r="CW1247" s="420"/>
      <c r="CX1247" s="420"/>
      <c r="CY1247" s="420"/>
      <c r="CZ1247" s="420"/>
      <c r="DA1247" s="420"/>
      <c r="DB1247" s="420"/>
      <c r="DC1247" s="420"/>
      <c r="DD1247" s="420"/>
      <c r="DE1247" s="420"/>
      <c r="DF1247" s="420"/>
      <c r="DG1247" s="420"/>
      <c r="DH1247" s="420"/>
      <c r="DI1247" s="420"/>
      <c r="DJ1247" s="420"/>
      <c r="DK1247" s="420"/>
      <c r="DL1247" s="420"/>
      <c r="DM1247" s="420"/>
      <c r="DN1247" s="420"/>
      <c r="DO1247" s="420"/>
      <c r="DP1247" s="420"/>
      <c r="DQ1247" s="420"/>
      <c r="DR1247" s="420"/>
      <c r="DS1247" s="420"/>
      <c r="DT1247" s="420"/>
      <c r="DU1247" s="420"/>
      <c r="DV1247" s="420"/>
      <c r="DW1247" s="420"/>
      <c r="DX1247" s="420"/>
      <c r="DY1247" s="420"/>
      <c r="DZ1247" s="420"/>
      <c r="EA1247" s="420"/>
      <c r="EB1247" s="420"/>
      <c r="EC1247" s="420"/>
      <c r="ED1247" s="420"/>
      <c r="EE1247" s="420"/>
      <c r="EF1247" s="420"/>
      <c r="EG1247" s="420"/>
      <c r="EH1247" s="420"/>
      <c r="EI1247" s="420"/>
      <c r="EJ1247" s="420"/>
      <c r="EK1247" s="420"/>
      <c r="EL1247" s="420"/>
      <c r="EM1247" s="420"/>
      <c r="EN1247" s="420"/>
      <c r="EO1247" s="420"/>
      <c r="EP1247" s="420"/>
      <c r="EQ1247" s="420"/>
      <c r="ER1247" s="420"/>
      <c r="ES1247" s="420"/>
      <c r="ET1247" s="420"/>
      <c r="EU1247" s="420"/>
      <c r="EV1247" s="420"/>
      <c r="EW1247" s="420"/>
      <c r="EX1247" s="420"/>
      <c r="EY1247" s="420"/>
      <c r="EZ1247" s="420"/>
      <c r="FA1247" s="420"/>
      <c r="FB1247" s="420"/>
      <c r="FC1247" s="420"/>
      <c r="FD1247" s="420"/>
      <c r="FE1247" s="420"/>
      <c r="FF1247" s="420"/>
      <c r="FG1247" s="420"/>
      <c r="FH1247" s="420"/>
      <c r="FI1247" s="420"/>
      <c r="FJ1247" s="420"/>
      <c r="FK1247" s="420"/>
      <c r="FL1247" s="420"/>
      <c r="FM1247" s="420"/>
      <c r="FN1247" s="420"/>
      <c r="FO1247" s="420"/>
      <c r="FP1247" s="420"/>
      <c r="FQ1247" s="420"/>
      <c r="FR1247" s="420"/>
      <c r="FS1247" s="420"/>
      <c r="FT1247" s="420"/>
      <c r="FU1247" s="420"/>
      <c r="FV1247" s="420"/>
      <c r="FW1247" s="420"/>
      <c r="FX1247" s="420"/>
      <c r="FY1247" s="420"/>
    </row>
    <row r="1248" spans="1:181" s="421" customFormat="1" ht="12.75">
      <c r="A1248" s="918" t="s">
        <v>887</v>
      </c>
      <c r="B1248" s="919" t="s">
        <v>888</v>
      </c>
      <c r="C1248" s="920" t="s">
        <v>47</v>
      </c>
      <c r="D1248" s="921">
        <v>4</v>
      </c>
      <c r="E1248" s="922"/>
      <c r="F1248" s="380">
        <f t="shared" si="40"/>
        <v>0</v>
      </c>
      <c r="G1248" s="420"/>
      <c r="H1248" s="420"/>
      <c r="I1248" s="420"/>
      <c r="J1248" s="420"/>
      <c r="K1248" s="420"/>
      <c r="L1248" s="420"/>
      <c r="M1248" s="420"/>
      <c r="N1248" s="640">
        <f t="shared" si="41"/>
        <v>0</v>
      </c>
      <c r="O1248" s="640">
        <f t="shared" si="42"/>
        <v>0</v>
      </c>
      <c r="P1248" s="420"/>
      <c r="Q1248" s="420"/>
      <c r="R1248" s="420"/>
      <c r="S1248" s="420"/>
      <c r="T1248" s="420"/>
      <c r="U1248" s="420"/>
      <c r="V1248" s="420"/>
      <c r="W1248" s="420"/>
      <c r="X1248" s="420"/>
      <c r="Y1248" s="420"/>
      <c r="Z1248" s="420"/>
      <c r="AA1248" s="420"/>
      <c r="AB1248" s="420"/>
      <c r="AC1248" s="420"/>
      <c r="AD1248" s="420"/>
      <c r="AE1248" s="420"/>
      <c r="AF1248" s="420"/>
      <c r="AG1248" s="420"/>
      <c r="AH1248" s="420"/>
      <c r="AI1248" s="420"/>
      <c r="AJ1248" s="420"/>
      <c r="AK1248" s="420"/>
      <c r="AL1248" s="420"/>
      <c r="AM1248" s="420"/>
      <c r="AN1248" s="420"/>
      <c r="AO1248" s="420"/>
      <c r="AP1248" s="420"/>
      <c r="AQ1248" s="420"/>
      <c r="AR1248" s="420"/>
      <c r="AS1248" s="420"/>
      <c r="AT1248" s="420"/>
      <c r="AU1248" s="420"/>
      <c r="AV1248" s="420"/>
      <c r="AW1248" s="420"/>
      <c r="AX1248" s="420"/>
      <c r="AY1248" s="420"/>
      <c r="AZ1248" s="420"/>
      <c r="BA1248" s="420"/>
      <c r="BB1248" s="420"/>
      <c r="BC1248" s="420"/>
      <c r="BD1248" s="420"/>
      <c r="BE1248" s="420"/>
      <c r="BF1248" s="420"/>
      <c r="BG1248" s="420"/>
      <c r="BH1248" s="420"/>
      <c r="BI1248" s="420"/>
      <c r="BJ1248" s="420"/>
      <c r="BK1248" s="420"/>
      <c r="BL1248" s="420"/>
      <c r="BM1248" s="420"/>
      <c r="BN1248" s="420"/>
      <c r="BO1248" s="420"/>
      <c r="BP1248" s="420"/>
      <c r="BQ1248" s="420"/>
      <c r="BR1248" s="420"/>
      <c r="BS1248" s="420"/>
      <c r="BT1248" s="420"/>
      <c r="BU1248" s="420"/>
      <c r="BV1248" s="420"/>
      <c r="BW1248" s="420"/>
      <c r="BX1248" s="420"/>
      <c r="BY1248" s="420"/>
      <c r="BZ1248" s="420"/>
      <c r="CA1248" s="420"/>
      <c r="CB1248" s="420"/>
      <c r="CC1248" s="420"/>
      <c r="CD1248" s="420"/>
      <c r="CE1248" s="420"/>
      <c r="CF1248" s="420"/>
      <c r="CG1248" s="420"/>
      <c r="CH1248" s="420"/>
      <c r="CI1248" s="420"/>
      <c r="CJ1248" s="420"/>
      <c r="CK1248" s="420"/>
      <c r="CL1248" s="420"/>
      <c r="CM1248" s="420"/>
      <c r="CN1248" s="420"/>
      <c r="CO1248" s="420"/>
      <c r="CP1248" s="420"/>
      <c r="CQ1248" s="420"/>
      <c r="CR1248" s="420"/>
      <c r="CS1248" s="420"/>
      <c r="CT1248" s="420"/>
      <c r="CU1248" s="420"/>
      <c r="CV1248" s="420"/>
      <c r="CW1248" s="420"/>
      <c r="CX1248" s="420"/>
      <c r="CY1248" s="420"/>
      <c r="CZ1248" s="420"/>
      <c r="DA1248" s="420"/>
      <c r="DB1248" s="420"/>
      <c r="DC1248" s="420"/>
      <c r="DD1248" s="420"/>
      <c r="DE1248" s="420"/>
      <c r="DF1248" s="420"/>
      <c r="DG1248" s="420"/>
      <c r="DH1248" s="420"/>
      <c r="DI1248" s="420"/>
      <c r="DJ1248" s="420"/>
      <c r="DK1248" s="420"/>
      <c r="DL1248" s="420"/>
      <c r="DM1248" s="420"/>
      <c r="DN1248" s="420"/>
      <c r="DO1248" s="420"/>
      <c r="DP1248" s="420"/>
      <c r="DQ1248" s="420"/>
      <c r="DR1248" s="420"/>
      <c r="DS1248" s="420"/>
      <c r="DT1248" s="420"/>
      <c r="DU1248" s="420"/>
      <c r="DV1248" s="420"/>
      <c r="DW1248" s="420"/>
      <c r="DX1248" s="420"/>
      <c r="DY1248" s="420"/>
      <c r="DZ1248" s="420"/>
      <c r="EA1248" s="420"/>
      <c r="EB1248" s="420"/>
      <c r="EC1248" s="420"/>
      <c r="ED1248" s="420"/>
      <c r="EE1248" s="420"/>
      <c r="EF1248" s="420"/>
      <c r="EG1248" s="420"/>
      <c r="EH1248" s="420"/>
      <c r="EI1248" s="420"/>
      <c r="EJ1248" s="420"/>
      <c r="EK1248" s="420"/>
      <c r="EL1248" s="420"/>
      <c r="EM1248" s="420"/>
      <c r="EN1248" s="420"/>
      <c r="EO1248" s="420"/>
      <c r="EP1248" s="420"/>
      <c r="EQ1248" s="420"/>
      <c r="ER1248" s="420"/>
      <c r="ES1248" s="420"/>
      <c r="ET1248" s="420"/>
      <c r="EU1248" s="420"/>
      <c r="EV1248" s="420"/>
      <c r="EW1248" s="420"/>
      <c r="EX1248" s="420"/>
      <c r="EY1248" s="420"/>
      <c r="EZ1248" s="420"/>
      <c r="FA1248" s="420"/>
      <c r="FB1248" s="420"/>
      <c r="FC1248" s="420"/>
      <c r="FD1248" s="420"/>
      <c r="FE1248" s="420"/>
      <c r="FF1248" s="420"/>
      <c r="FG1248" s="420"/>
      <c r="FH1248" s="420"/>
      <c r="FI1248" s="420"/>
      <c r="FJ1248" s="420"/>
      <c r="FK1248" s="420"/>
      <c r="FL1248" s="420"/>
      <c r="FM1248" s="420"/>
      <c r="FN1248" s="420"/>
      <c r="FO1248" s="420"/>
      <c r="FP1248" s="420"/>
      <c r="FQ1248" s="420"/>
      <c r="FR1248" s="420"/>
      <c r="FS1248" s="420"/>
      <c r="FT1248" s="420"/>
      <c r="FU1248" s="420"/>
      <c r="FV1248" s="420"/>
      <c r="FW1248" s="420"/>
      <c r="FX1248" s="420"/>
      <c r="FY1248" s="420"/>
    </row>
    <row r="1249" spans="1:181" s="421" customFormat="1" ht="12.75">
      <c r="A1249" s="918" t="s">
        <v>889</v>
      </c>
      <c r="B1249" s="919" t="s">
        <v>890</v>
      </c>
      <c r="C1249" s="920" t="s">
        <v>47</v>
      </c>
      <c r="D1249" s="921">
        <v>1</v>
      </c>
      <c r="E1249" s="922"/>
      <c r="F1249" s="380">
        <f t="shared" si="40"/>
        <v>0</v>
      </c>
      <c r="G1249" s="420"/>
      <c r="H1249" s="420"/>
      <c r="I1249" s="420"/>
      <c r="J1249" s="420"/>
      <c r="K1249" s="420"/>
      <c r="L1249" s="420"/>
      <c r="M1249" s="420"/>
      <c r="N1249" s="640">
        <f t="shared" si="41"/>
        <v>0</v>
      </c>
      <c r="O1249" s="640">
        <f t="shared" si="42"/>
        <v>0</v>
      </c>
      <c r="P1249" s="420"/>
      <c r="Q1249" s="420"/>
      <c r="R1249" s="420"/>
      <c r="S1249" s="420"/>
      <c r="T1249" s="420"/>
      <c r="U1249" s="420"/>
      <c r="V1249" s="420"/>
      <c r="W1249" s="420"/>
      <c r="X1249" s="420"/>
      <c r="Y1249" s="420"/>
      <c r="Z1249" s="420"/>
      <c r="AA1249" s="420"/>
      <c r="AB1249" s="420"/>
      <c r="AC1249" s="420"/>
      <c r="AD1249" s="420"/>
      <c r="AE1249" s="420"/>
      <c r="AF1249" s="420"/>
      <c r="AG1249" s="420"/>
      <c r="AH1249" s="420"/>
      <c r="AI1249" s="420"/>
      <c r="AJ1249" s="420"/>
      <c r="AK1249" s="420"/>
      <c r="AL1249" s="420"/>
      <c r="AM1249" s="420"/>
      <c r="AN1249" s="420"/>
      <c r="AO1249" s="420"/>
      <c r="AP1249" s="420"/>
      <c r="AQ1249" s="420"/>
      <c r="AR1249" s="420"/>
      <c r="AS1249" s="420"/>
      <c r="AT1249" s="420"/>
      <c r="AU1249" s="420"/>
      <c r="AV1249" s="420"/>
      <c r="AW1249" s="420"/>
      <c r="AX1249" s="420"/>
      <c r="AY1249" s="420"/>
      <c r="AZ1249" s="420"/>
      <c r="BA1249" s="420"/>
      <c r="BB1249" s="420"/>
      <c r="BC1249" s="420"/>
      <c r="BD1249" s="420"/>
      <c r="BE1249" s="420"/>
      <c r="BF1249" s="420"/>
      <c r="BG1249" s="420"/>
      <c r="BH1249" s="420"/>
      <c r="BI1249" s="420"/>
      <c r="BJ1249" s="420"/>
      <c r="BK1249" s="420"/>
      <c r="BL1249" s="420"/>
      <c r="BM1249" s="420"/>
      <c r="BN1249" s="420"/>
      <c r="BO1249" s="420"/>
      <c r="BP1249" s="420"/>
      <c r="BQ1249" s="420"/>
      <c r="BR1249" s="420"/>
      <c r="BS1249" s="420"/>
      <c r="BT1249" s="420"/>
      <c r="BU1249" s="420"/>
      <c r="BV1249" s="420"/>
      <c r="BW1249" s="420"/>
      <c r="BX1249" s="420"/>
      <c r="BY1249" s="420"/>
      <c r="BZ1249" s="420"/>
      <c r="CA1249" s="420"/>
      <c r="CB1249" s="420"/>
      <c r="CC1249" s="420"/>
      <c r="CD1249" s="420"/>
      <c r="CE1249" s="420"/>
      <c r="CF1249" s="420"/>
      <c r="CG1249" s="420"/>
      <c r="CH1249" s="420"/>
      <c r="CI1249" s="420"/>
      <c r="CJ1249" s="420"/>
      <c r="CK1249" s="420"/>
      <c r="CL1249" s="420"/>
      <c r="CM1249" s="420"/>
      <c r="CN1249" s="420"/>
      <c r="CO1249" s="420"/>
      <c r="CP1249" s="420"/>
      <c r="CQ1249" s="420"/>
      <c r="CR1249" s="420"/>
      <c r="CS1249" s="420"/>
      <c r="CT1249" s="420"/>
      <c r="CU1249" s="420"/>
      <c r="CV1249" s="420"/>
      <c r="CW1249" s="420"/>
      <c r="CX1249" s="420"/>
      <c r="CY1249" s="420"/>
      <c r="CZ1249" s="420"/>
      <c r="DA1249" s="420"/>
      <c r="DB1249" s="420"/>
      <c r="DC1249" s="420"/>
      <c r="DD1249" s="420"/>
      <c r="DE1249" s="420"/>
      <c r="DF1249" s="420"/>
      <c r="DG1249" s="420"/>
      <c r="DH1249" s="420"/>
      <c r="DI1249" s="420"/>
      <c r="DJ1249" s="420"/>
      <c r="DK1249" s="420"/>
      <c r="DL1249" s="420"/>
      <c r="DM1249" s="420"/>
      <c r="DN1249" s="420"/>
      <c r="DO1249" s="420"/>
      <c r="DP1249" s="420"/>
      <c r="DQ1249" s="420"/>
      <c r="DR1249" s="420"/>
      <c r="DS1249" s="420"/>
      <c r="DT1249" s="420"/>
      <c r="DU1249" s="420"/>
      <c r="DV1249" s="420"/>
      <c r="DW1249" s="420"/>
      <c r="DX1249" s="420"/>
      <c r="DY1249" s="420"/>
      <c r="DZ1249" s="420"/>
      <c r="EA1249" s="420"/>
      <c r="EB1249" s="420"/>
      <c r="EC1249" s="420"/>
      <c r="ED1249" s="420"/>
      <c r="EE1249" s="420"/>
      <c r="EF1249" s="420"/>
      <c r="EG1249" s="420"/>
      <c r="EH1249" s="420"/>
      <c r="EI1249" s="420"/>
      <c r="EJ1249" s="420"/>
      <c r="EK1249" s="420"/>
      <c r="EL1249" s="420"/>
      <c r="EM1249" s="420"/>
      <c r="EN1249" s="420"/>
      <c r="EO1249" s="420"/>
      <c r="EP1249" s="420"/>
      <c r="EQ1249" s="420"/>
      <c r="ER1249" s="420"/>
      <c r="ES1249" s="420"/>
      <c r="ET1249" s="420"/>
      <c r="EU1249" s="420"/>
      <c r="EV1249" s="420"/>
      <c r="EW1249" s="420"/>
      <c r="EX1249" s="420"/>
      <c r="EY1249" s="420"/>
      <c r="EZ1249" s="420"/>
      <c r="FA1249" s="420"/>
      <c r="FB1249" s="420"/>
      <c r="FC1249" s="420"/>
      <c r="FD1249" s="420"/>
      <c r="FE1249" s="420"/>
      <c r="FF1249" s="420"/>
      <c r="FG1249" s="420"/>
      <c r="FH1249" s="420"/>
      <c r="FI1249" s="420"/>
      <c r="FJ1249" s="420"/>
      <c r="FK1249" s="420"/>
      <c r="FL1249" s="420"/>
      <c r="FM1249" s="420"/>
      <c r="FN1249" s="420"/>
      <c r="FO1249" s="420"/>
      <c r="FP1249" s="420"/>
      <c r="FQ1249" s="420"/>
      <c r="FR1249" s="420"/>
      <c r="FS1249" s="420"/>
      <c r="FT1249" s="420"/>
      <c r="FU1249" s="420"/>
      <c r="FV1249" s="420"/>
      <c r="FW1249" s="420"/>
      <c r="FX1249" s="420"/>
      <c r="FY1249" s="420"/>
    </row>
    <row r="1250" spans="1:181" s="421" customFormat="1" ht="15.75" customHeight="1">
      <c r="A1250" s="918"/>
      <c r="B1250" s="927"/>
      <c r="C1250" s="920"/>
      <c r="D1250" s="921"/>
      <c r="E1250" s="922"/>
      <c r="F1250" s="923"/>
      <c r="G1250" s="420"/>
      <c r="H1250" s="420"/>
      <c r="I1250" s="420"/>
      <c r="J1250" s="420"/>
      <c r="K1250" s="420"/>
      <c r="L1250" s="420"/>
      <c r="M1250" s="420"/>
      <c r="N1250" s="646"/>
      <c r="O1250" s="646"/>
      <c r="P1250" s="420"/>
      <c r="Q1250" s="420"/>
      <c r="R1250" s="420"/>
      <c r="S1250" s="420"/>
      <c r="T1250" s="420"/>
      <c r="U1250" s="420"/>
      <c r="V1250" s="420"/>
      <c r="W1250" s="420"/>
      <c r="X1250" s="420"/>
      <c r="Y1250" s="420"/>
      <c r="Z1250" s="420"/>
      <c r="AA1250" s="420"/>
      <c r="AB1250" s="420"/>
      <c r="AC1250" s="420"/>
      <c r="AD1250" s="420"/>
      <c r="AE1250" s="420"/>
      <c r="AF1250" s="420"/>
      <c r="AG1250" s="420"/>
      <c r="AH1250" s="420"/>
      <c r="AI1250" s="420"/>
      <c r="AJ1250" s="420"/>
      <c r="AK1250" s="420"/>
      <c r="AL1250" s="420"/>
      <c r="AM1250" s="420"/>
      <c r="AN1250" s="420"/>
      <c r="AO1250" s="420"/>
      <c r="AP1250" s="420"/>
      <c r="AQ1250" s="420"/>
      <c r="AR1250" s="420"/>
      <c r="AS1250" s="420"/>
      <c r="AT1250" s="420"/>
      <c r="AU1250" s="420"/>
      <c r="AV1250" s="420"/>
      <c r="AW1250" s="420"/>
      <c r="AX1250" s="420"/>
      <c r="AY1250" s="420"/>
      <c r="AZ1250" s="420"/>
      <c r="BA1250" s="420"/>
      <c r="BB1250" s="420"/>
      <c r="BC1250" s="420"/>
      <c r="BD1250" s="420"/>
      <c r="BE1250" s="420"/>
      <c r="BF1250" s="420"/>
      <c r="BG1250" s="420"/>
      <c r="BH1250" s="420"/>
      <c r="BI1250" s="420"/>
      <c r="BJ1250" s="420"/>
      <c r="BK1250" s="420"/>
      <c r="BL1250" s="420"/>
      <c r="BM1250" s="420"/>
      <c r="BN1250" s="420"/>
      <c r="BO1250" s="420"/>
      <c r="BP1250" s="420"/>
      <c r="BQ1250" s="420"/>
      <c r="BR1250" s="420"/>
      <c r="BS1250" s="420"/>
      <c r="BT1250" s="420"/>
      <c r="BU1250" s="420"/>
      <c r="BV1250" s="420"/>
      <c r="BW1250" s="420"/>
      <c r="BX1250" s="420"/>
      <c r="BY1250" s="420"/>
      <c r="BZ1250" s="420"/>
      <c r="CA1250" s="420"/>
      <c r="CB1250" s="420"/>
      <c r="CC1250" s="420"/>
      <c r="CD1250" s="420"/>
      <c r="CE1250" s="420"/>
      <c r="CF1250" s="420"/>
      <c r="CG1250" s="420"/>
      <c r="CH1250" s="420"/>
      <c r="CI1250" s="420"/>
      <c r="CJ1250" s="420"/>
      <c r="CK1250" s="420"/>
      <c r="CL1250" s="420"/>
      <c r="CM1250" s="420"/>
      <c r="CN1250" s="420"/>
      <c r="CO1250" s="420"/>
      <c r="CP1250" s="420"/>
      <c r="CQ1250" s="420"/>
      <c r="CR1250" s="420"/>
      <c r="CS1250" s="420"/>
      <c r="CT1250" s="420"/>
      <c r="CU1250" s="420"/>
      <c r="CV1250" s="420"/>
      <c r="CW1250" s="420"/>
      <c r="CX1250" s="420"/>
      <c r="CY1250" s="420"/>
      <c r="CZ1250" s="420"/>
      <c r="DA1250" s="420"/>
      <c r="DB1250" s="420"/>
      <c r="DC1250" s="420"/>
      <c r="DD1250" s="420"/>
      <c r="DE1250" s="420"/>
      <c r="DF1250" s="420"/>
      <c r="DG1250" s="420"/>
      <c r="DH1250" s="420"/>
      <c r="DI1250" s="420"/>
      <c r="DJ1250" s="420"/>
      <c r="DK1250" s="420"/>
      <c r="DL1250" s="420"/>
      <c r="DM1250" s="420"/>
      <c r="DN1250" s="420"/>
      <c r="DO1250" s="420"/>
      <c r="DP1250" s="420"/>
      <c r="DQ1250" s="420"/>
      <c r="DR1250" s="420"/>
      <c r="DS1250" s="420"/>
      <c r="DT1250" s="420"/>
      <c r="DU1250" s="420"/>
      <c r="DV1250" s="420"/>
      <c r="DW1250" s="420"/>
      <c r="DX1250" s="420"/>
      <c r="DY1250" s="420"/>
      <c r="DZ1250" s="420"/>
      <c r="EA1250" s="420"/>
      <c r="EB1250" s="420"/>
      <c r="EC1250" s="420"/>
      <c r="ED1250" s="420"/>
      <c r="EE1250" s="420"/>
      <c r="EF1250" s="420"/>
      <c r="EG1250" s="420"/>
      <c r="EH1250" s="420"/>
      <c r="EI1250" s="420"/>
      <c r="EJ1250" s="420"/>
      <c r="EK1250" s="420"/>
      <c r="EL1250" s="420"/>
      <c r="EM1250" s="420"/>
      <c r="EN1250" s="420"/>
      <c r="EO1250" s="420"/>
      <c r="EP1250" s="420"/>
      <c r="EQ1250" s="420"/>
      <c r="ER1250" s="420"/>
      <c r="ES1250" s="420"/>
      <c r="ET1250" s="420"/>
      <c r="EU1250" s="420"/>
      <c r="EV1250" s="420"/>
      <c r="EW1250" s="420"/>
      <c r="EX1250" s="420"/>
      <c r="EY1250" s="420"/>
      <c r="EZ1250" s="420"/>
      <c r="FA1250" s="420"/>
      <c r="FB1250" s="420"/>
      <c r="FC1250" s="420"/>
      <c r="FD1250" s="420"/>
      <c r="FE1250" s="420"/>
      <c r="FF1250" s="420"/>
      <c r="FG1250" s="420"/>
      <c r="FH1250" s="420"/>
      <c r="FI1250" s="420"/>
      <c r="FJ1250" s="420"/>
      <c r="FK1250" s="420"/>
      <c r="FL1250" s="420"/>
      <c r="FM1250" s="420"/>
      <c r="FN1250" s="420"/>
      <c r="FO1250" s="420"/>
      <c r="FP1250" s="420"/>
      <c r="FQ1250" s="420"/>
      <c r="FR1250" s="420"/>
      <c r="FS1250" s="420"/>
      <c r="FT1250" s="420"/>
      <c r="FU1250" s="420"/>
      <c r="FV1250" s="420"/>
      <c r="FW1250" s="420"/>
      <c r="FX1250" s="420"/>
      <c r="FY1250" s="420"/>
    </row>
    <row r="1251" spans="1:181" s="421" customFormat="1" ht="15.75" customHeight="1">
      <c r="A1251" s="937" t="s">
        <v>687</v>
      </c>
      <c r="B1251" s="938" t="s">
        <v>53</v>
      </c>
      <c r="C1251" s="939"/>
      <c r="D1251" s="940"/>
      <c r="E1251" s="940"/>
      <c r="F1251" s="941">
        <f>SUM(F1217:F1249)</f>
        <v>0</v>
      </c>
      <c r="G1251" s="942"/>
      <c r="H1251" s="942"/>
      <c r="I1251" s="942"/>
      <c r="J1251" s="942"/>
      <c r="K1251" s="942"/>
      <c r="L1251" s="942"/>
      <c r="M1251" s="942"/>
      <c r="N1251" s="901"/>
      <c r="O1251" s="941">
        <f>SUM(O1217:O1249)</f>
        <v>0</v>
      </c>
      <c r="P1251" s="420"/>
      <c r="Q1251" s="420"/>
      <c r="R1251" s="420"/>
      <c r="S1251" s="420"/>
      <c r="T1251" s="420"/>
      <c r="U1251" s="420"/>
      <c r="V1251" s="420"/>
      <c r="W1251" s="420"/>
      <c r="X1251" s="420"/>
      <c r="Y1251" s="420"/>
      <c r="Z1251" s="420"/>
      <c r="AA1251" s="420"/>
      <c r="AB1251" s="420"/>
      <c r="AC1251" s="420"/>
      <c r="AD1251" s="420"/>
      <c r="AE1251" s="420"/>
      <c r="AF1251" s="420"/>
      <c r="AG1251" s="420"/>
      <c r="AH1251" s="420"/>
      <c r="AI1251" s="420"/>
      <c r="AJ1251" s="420"/>
      <c r="AK1251" s="420"/>
      <c r="AL1251" s="420"/>
      <c r="AM1251" s="420"/>
      <c r="AN1251" s="420"/>
      <c r="AO1251" s="420"/>
      <c r="AP1251" s="420"/>
      <c r="AQ1251" s="420"/>
      <c r="AR1251" s="420"/>
      <c r="AS1251" s="420"/>
      <c r="AT1251" s="420"/>
      <c r="AU1251" s="420"/>
      <c r="AV1251" s="420"/>
      <c r="AW1251" s="420"/>
      <c r="AX1251" s="420"/>
      <c r="AY1251" s="420"/>
      <c r="AZ1251" s="420"/>
      <c r="BA1251" s="420"/>
      <c r="BB1251" s="420"/>
      <c r="BC1251" s="420"/>
      <c r="BD1251" s="420"/>
      <c r="BE1251" s="420"/>
      <c r="BF1251" s="420"/>
      <c r="BG1251" s="420"/>
      <c r="BH1251" s="420"/>
      <c r="BI1251" s="420"/>
      <c r="BJ1251" s="420"/>
      <c r="BK1251" s="420"/>
      <c r="BL1251" s="420"/>
      <c r="BM1251" s="420"/>
      <c r="BN1251" s="420"/>
      <c r="BO1251" s="420"/>
      <c r="BP1251" s="420"/>
      <c r="BQ1251" s="420"/>
      <c r="BR1251" s="420"/>
      <c r="BS1251" s="420"/>
      <c r="BT1251" s="420"/>
      <c r="BU1251" s="420"/>
      <c r="BV1251" s="420"/>
      <c r="BW1251" s="420"/>
      <c r="BX1251" s="420"/>
      <c r="BY1251" s="420"/>
      <c r="BZ1251" s="420"/>
      <c r="CA1251" s="420"/>
      <c r="CB1251" s="420"/>
      <c r="CC1251" s="420"/>
      <c r="CD1251" s="420"/>
      <c r="CE1251" s="420"/>
      <c r="CF1251" s="420"/>
      <c r="CG1251" s="420"/>
      <c r="CH1251" s="420"/>
      <c r="CI1251" s="420"/>
      <c r="CJ1251" s="420"/>
      <c r="CK1251" s="420"/>
      <c r="CL1251" s="420"/>
      <c r="CM1251" s="420"/>
      <c r="CN1251" s="420"/>
      <c r="CO1251" s="420"/>
      <c r="CP1251" s="420"/>
      <c r="CQ1251" s="420"/>
      <c r="CR1251" s="420"/>
      <c r="CS1251" s="420"/>
      <c r="CT1251" s="420"/>
      <c r="CU1251" s="420"/>
      <c r="CV1251" s="420"/>
      <c r="CW1251" s="420"/>
      <c r="CX1251" s="420"/>
      <c r="CY1251" s="420"/>
      <c r="CZ1251" s="420"/>
      <c r="DA1251" s="420"/>
      <c r="DB1251" s="420"/>
      <c r="DC1251" s="420"/>
      <c r="DD1251" s="420"/>
      <c r="DE1251" s="420"/>
      <c r="DF1251" s="420"/>
      <c r="DG1251" s="420"/>
      <c r="DH1251" s="420"/>
      <c r="DI1251" s="420"/>
      <c r="DJ1251" s="420"/>
      <c r="DK1251" s="420"/>
      <c r="DL1251" s="420"/>
      <c r="DM1251" s="420"/>
      <c r="DN1251" s="420"/>
      <c r="DO1251" s="420"/>
      <c r="DP1251" s="420"/>
      <c r="DQ1251" s="420"/>
      <c r="DR1251" s="420"/>
      <c r="DS1251" s="420"/>
      <c r="DT1251" s="420"/>
      <c r="DU1251" s="420"/>
      <c r="DV1251" s="420"/>
      <c r="DW1251" s="420"/>
      <c r="DX1251" s="420"/>
      <c r="DY1251" s="420"/>
      <c r="DZ1251" s="420"/>
      <c r="EA1251" s="420"/>
      <c r="EB1251" s="420"/>
      <c r="EC1251" s="420"/>
      <c r="ED1251" s="420"/>
      <c r="EE1251" s="420"/>
      <c r="EF1251" s="420"/>
      <c r="EG1251" s="420"/>
      <c r="EH1251" s="420"/>
      <c r="EI1251" s="420"/>
      <c r="EJ1251" s="420"/>
      <c r="EK1251" s="420"/>
      <c r="EL1251" s="420"/>
      <c r="EM1251" s="420"/>
      <c r="EN1251" s="420"/>
      <c r="EO1251" s="420"/>
      <c r="EP1251" s="420"/>
      <c r="EQ1251" s="420"/>
      <c r="ER1251" s="420"/>
      <c r="ES1251" s="420"/>
      <c r="ET1251" s="420"/>
      <c r="EU1251" s="420"/>
      <c r="EV1251" s="420"/>
      <c r="EW1251" s="420"/>
      <c r="EX1251" s="420"/>
      <c r="EY1251" s="420"/>
      <c r="EZ1251" s="420"/>
      <c r="FA1251" s="420"/>
      <c r="FB1251" s="420"/>
      <c r="FC1251" s="420"/>
      <c r="FD1251" s="420"/>
      <c r="FE1251" s="420"/>
      <c r="FF1251" s="420"/>
      <c r="FG1251" s="420"/>
      <c r="FH1251" s="420"/>
      <c r="FI1251" s="420"/>
      <c r="FJ1251" s="420"/>
      <c r="FK1251" s="420"/>
      <c r="FL1251" s="420"/>
      <c r="FM1251" s="420"/>
      <c r="FN1251" s="420"/>
      <c r="FO1251" s="420"/>
      <c r="FP1251" s="420"/>
      <c r="FQ1251" s="420"/>
      <c r="FR1251" s="420"/>
      <c r="FS1251" s="420"/>
      <c r="FT1251" s="420"/>
      <c r="FU1251" s="420"/>
      <c r="FV1251" s="420"/>
      <c r="FW1251" s="420"/>
      <c r="FX1251" s="420"/>
      <c r="FY1251" s="420"/>
    </row>
    <row r="1252" spans="1:15" ht="30" customHeight="1">
      <c r="A1252" s="932"/>
      <c r="B1252" s="932"/>
      <c r="C1252" s="932"/>
      <c r="D1252" s="932"/>
      <c r="E1252" s="932"/>
      <c r="F1252" s="932"/>
      <c r="N1252" s="89"/>
      <c r="O1252" s="89"/>
    </row>
    <row r="1253" spans="1:181" s="421" customFormat="1" ht="15.75" customHeight="1">
      <c r="A1253" s="928" t="s">
        <v>732</v>
      </c>
      <c r="B1253" s="933" t="s">
        <v>891</v>
      </c>
      <c r="C1253" s="1200"/>
      <c r="D1253" s="1200"/>
      <c r="E1253" s="1200"/>
      <c r="F1253" s="1200"/>
      <c r="G1253" s="420"/>
      <c r="H1253" s="420"/>
      <c r="I1253" s="420"/>
      <c r="J1253" s="420"/>
      <c r="K1253" s="420"/>
      <c r="L1253" s="420"/>
      <c r="M1253" s="420"/>
      <c r="N1253" s="646"/>
      <c r="O1253" s="646"/>
      <c r="P1253" s="420"/>
      <c r="Q1253" s="420"/>
      <c r="R1253" s="420"/>
      <c r="S1253" s="420"/>
      <c r="T1253" s="420"/>
      <c r="U1253" s="420"/>
      <c r="V1253" s="420"/>
      <c r="W1253" s="420"/>
      <c r="X1253" s="420"/>
      <c r="Y1253" s="420"/>
      <c r="Z1253" s="420"/>
      <c r="AA1253" s="420"/>
      <c r="AB1253" s="420"/>
      <c r="AC1253" s="420"/>
      <c r="AD1253" s="420"/>
      <c r="AE1253" s="420"/>
      <c r="AF1253" s="420"/>
      <c r="AG1253" s="420"/>
      <c r="AH1253" s="420"/>
      <c r="AI1253" s="420"/>
      <c r="AJ1253" s="420"/>
      <c r="AK1253" s="420"/>
      <c r="AL1253" s="420"/>
      <c r="AM1253" s="420"/>
      <c r="AN1253" s="420"/>
      <c r="AO1253" s="420"/>
      <c r="AP1253" s="420"/>
      <c r="AQ1253" s="420"/>
      <c r="AR1253" s="420"/>
      <c r="AS1253" s="420"/>
      <c r="AT1253" s="420"/>
      <c r="AU1253" s="420"/>
      <c r="AV1253" s="420"/>
      <c r="AW1253" s="420"/>
      <c r="AX1253" s="420"/>
      <c r="AY1253" s="420"/>
      <c r="AZ1253" s="420"/>
      <c r="BA1253" s="420"/>
      <c r="BB1253" s="420"/>
      <c r="BC1253" s="420"/>
      <c r="BD1253" s="420"/>
      <c r="BE1253" s="420"/>
      <c r="BF1253" s="420"/>
      <c r="BG1253" s="420"/>
      <c r="BH1253" s="420"/>
      <c r="BI1253" s="420"/>
      <c r="BJ1253" s="420"/>
      <c r="BK1253" s="420"/>
      <c r="BL1253" s="420"/>
      <c r="BM1253" s="420"/>
      <c r="BN1253" s="420"/>
      <c r="BO1253" s="420"/>
      <c r="BP1253" s="420"/>
      <c r="BQ1253" s="420"/>
      <c r="BR1253" s="420"/>
      <c r="BS1253" s="420"/>
      <c r="BT1253" s="420"/>
      <c r="BU1253" s="420"/>
      <c r="BV1253" s="420"/>
      <c r="BW1253" s="420"/>
      <c r="BX1253" s="420"/>
      <c r="BY1253" s="420"/>
      <c r="BZ1253" s="420"/>
      <c r="CA1253" s="420"/>
      <c r="CB1253" s="420"/>
      <c r="CC1253" s="420"/>
      <c r="CD1253" s="420"/>
      <c r="CE1253" s="420"/>
      <c r="CF1253" s="420"/>
      <c r="CG1253" s="420"/>
      <c r="CH1253" s="420"/>
      <c r="CI1253" s="420"/>
      <c r="CJ1253" s="420"/>
      <c r="CK1253" s="420"/>
      <c r="CL1253" s="420"/>
      <c r="CM1253" s="420"/>
      <c r="CN1253" s="420"/>
      <c r="CO1253" s="420"/>
      <c r="CP1253" s="420"/>
      <c r="CQ1253" s="420"/>
      <c r="CR1253" s="420"/>
      <c r="CS1253" s="420"/>
      <c r="CT1253" s="420"/>
      <c r="CU1253" s="420"/>
      <c r="CV1253" s="420"/>
      <c r="CW1253" s="420"/>
      <c r="CX1253" s="420"/>
      <c r="CY1253" s="420"/>
      <c r="CZ1253" s="420"/>
      <c r="DA1253" s="420"/>
      <c r="DB1253" s="420"/>
      <c r="DC1253" s="420"/>
      <c r="DD1253" s="420"/>
      <c r="DE1253" s="420"/>
      <c r="DF1253" s="420"/>
      <c r="DG1253" s="420"/>
      <c r="DH1253" s="420"/>
      <c r="DI1253" s="420"/>
      <c r="DJ1253" s="420"/>
      <c r="DK1253" s="420"/>
      <c r="DL1253" s="420"/>
      <c r="DM1253" s="420"/>
      <c r="DN1253" s="420"/>
      <c r="DO1253" s="420"/>
      <c r="DP1253" s="420"/>
      <c r="DQ1253" s="420"/>
      <c r="DR1253" s="420"/>
      <c r="DS1253" s="420"/>
      <c r="DT1253" s="420"/>
      <c r="DU1253" s="420"/>
      <c r="DV1253" s="420"/>
      <c r="DW1253" s="420"/>
      <c r="DX1253" s="420"/>
      <c r="DY1253" s="420"/>
      <c r="DZ1253" s="420"/>
      <c r="EA1253" s="420"/>
      <c r="EB1253" s="420"/>
      <c r="EC1253" s="420"/>
      <c r="ED1253" s="420"/>
      <c r="EE1253" s="420"/>
      <c r="EF1253" s="420"/>
      <c r="EG1253" s="420"/>
      <c r="EH1253" s="420"/>
      <c r="EI1253" s="420"/>
      <c r="EJ1253" s="420"/>
      <c r="EK1253" s="420"/>
      <c r="EL1253" s="420"/>
      <c r="EM1253" s="420"/>
      <c r="EN1253" s="420"/>
      <c r="EO1253" s="420"/>
      <c r="EP1253" s="420"/>
      <c r="EQ1253" s="420"/>
      <c r="ER1253" s="420"/>
      <c r="ES1253" s="420"/>
      <c r="ET1253" s="420"/>
      <c r="EU1253" s="420"/>
      <c r="EV1253" s="420"/>
      <c r="EW1253" s="420"/>
      <c r="EX1253" s="420"/>
      <c r="EY1253" s="420"/>
      <c r="EZ1253" s="420"/>
      <c r="FA1253" s="420"/>
      <c r="FB1253" s="420"/>
      <c r="FC1253" s="420"/>
      <c r="FD1253" s="420"/>
      <c r="FE1253" s="420"/>
      <c r="FF1253" s="420"/>
      <c r="FG1253" s="420"/>
      <c r="FH1253" s="420"/>
      <c r="FI1253" s="420"/>
      <c r="FJ1253" s="420"/>
      <c r="FK1253" s="420"/>
      <c r="FL1253" s="420"/>
      <c r="FM1253" s="420"/>
      <c r="FN1253" s="420"/>
      <c r="FO1253" s="420"/>
      <c r="FP1253" s="420"/>
      <c r="FQ1253" s="420"/>
      <c r="FR1253" s="420"/>
      <c r="FS1253" s="420"/>
      <c r="FT1253" s="420"/>
      <c r="FU1253" s="420"/>
      <c r="FV1253" s="420"/>
      <c r="FW1253" s="420"/>
      <c r="FX1253" s="420"/>
      <c r="FY1253" s="420"/>
    </row>
    <row r="1254" spans="1:181" s="421" customFormat="1" ht="30" customHeight="1">
      <c r="A1254" s="630" t="s">
        <v>38</v>
      </c>
      <c r="B1254" s="898" t="s">
        <v>39</v>
      </c>
      <c r="C1254" s="899" t="s">
        <v>40</v>
      </c>
      <c r="D1254" s="899" t="s">
        <v>41</v>
      </c>
      <c r="E1254" s="900" t="s">
        <v>1261</v>
      </c>
      <c r="F1254" s="900" t="s">
        <v>1262</v>
      </c>
      <c r="G1254" s="600"/>
      <c r="H1254" s="601"/>
      <c r="I1254" s="601"/>
      <c r="J1254" s="146"/>
      <c r="K1254" s="146"/>
      <c r="L1254" s="601"/>
      <c r="M1254" s="146"/>
      <c r="N1254" s="631" t="s">
        <v>1264</v>
      </c>
      <c r="O1254" s="631" t="s">
        <v>1263</v>
      </c>
      <c r="P1254" s="420"/>
      <c r="Q1254" s="420"/>
      <c r="R1254" s="420"/>
      <c r="S1254" s="420"/>
      <c r="T1254" s="420"/>
      <c r="U1254" s="420"/>
      <c r="V1254" s="420"/>
      <c r="W1254" s="420"/>
      <c r="X1254" s="420"/>
      <c r="Y1254" s="420"/>
      <c r="Z1254" s="420"/>
      <c r="AA1254" s="420"/>
      <c r="AB1254" s="420"/>
      <c r="AC1254" s="420"/>
      <c r="AD1254" s="420"/>
      <c r="AE1254" s="420"/>
      <c r="AF1254" s="420"/>
      <c r="AG1254" s="420"/>
      <c r="AH1254" s="420"/>
      <c r="AI1254" s="420"/>
      <c r="AJ1254" s="420"/>
      <c r="AK1254" s="420"/>
      <c r="AL1254" s="420"/>
      <c r="AM1254" s="420"/>
      <c r="AN1254" s="420"/>
      <c r="AO1254" s="420"/>
      <c r="AP1254" s="420"/>
      <c r="AQ1254" s="420"/>
      <c r="AR1254" s="420"/>
      <c r="AS1254" s="420"/>
      <c r="AT1254" s="420"/>
      <c r="AU1254" s="420"/>
      <c r="AV1254" s="420"/>
      <c r="AW1254" s="420"/>
      <c r="AX1254" s="420"/>
      <c r="AY1254" s="420"/>
      <c r="AZ1254" s="420"/>
      <c r="BA1254" s="420"/>
      <c r="BB1254" s="420"/>
      <c r="BC1254" s="420"/>
      <c r="BD1254" s="420"/>
      <c r="BE1254" s="420"/>
      <c r="BF1254" s="420"/>
      <c r="BG1254" s="420"/>
      <c r="BH1254" s="420"/>
      <c r="BI1254" s="420"/>
      <c r="BJ1254" s="420"/>
      <c r="BK1254" s="420"/>
      <c r="BL1254" s="420"/>
      <c r="BM1254" s="420"/>
      <c r="BN1254" s="420"/>
      <c r="BO1254" s="420"/>
      <c r="BP1254" s="420"/>
      <c r="BQ1254" s="420"/>
      <c r="BR1254" s="420"/>
      <c r="BS1254" s="420"/>
      <c r="BT1254" s="420"/>
      <c r="BU1254" s="420"/>
      <c r="BV1254" s="420"/>
      <c r="BW1254" s="420"/>
      <c r="BX1254" s="420"/>
      <c r="BY1254" s="420"/>
      <c r="BZ1254" s="420"/>
      <c r="CA1254" s="420"/>
      <c r="CB1254" s="420"/>
      <c r="CC1254" s="420"/>
      <c r="CD1254" s="420"/>
      <c r="CE1254" s="420"/>
      <c r="CF1254" s="420"/>
      <c r="CG1254" s="420"/>
      <c r="CH1254" s="420"/>
      <c r="CI1254" s="420"/>
      <c r="CJ1254" s="420"/>
      <c r="CK1254" s="420"/>
      <c r="CL1254" s="420"/>
      <c r="CM1254" s="420"/>
      <c r="CN1254" s="420"/>
      <c r="CO1254" s="420"/>
      <c r="CP1254" s="420"/>
      <c r="CQ1254" s="420"/>
      <c r="CR1254" s="420"/>
      <c r="CS1254" s="420"/>
      <c r="CT1254" s="420"/>
      <c r="CU1254" s="420"/>
      <c r="CV1254" s="420"/>
      <c r="CW1254" s="420"/>
      <c r="CX1254" s="420"/>
      <c r="CY1254" s="420"/>
      <c r="CZ1254" s="420"/>
      <c r="DA1254" s="420"/>
      <c r="DB1254" s="420"/>
      <c r="DC1254" s="420"/>
      <c r="DD1254" s="420"/>
      <c r="DE1254" s="420"/>
      <c r="DF1254" s="420"/>
      <c r="DG1254" s="420"/>
      <c r="DH1254" s="420"/>
      <c r="DI1254" s="420"/>
      <c r="DJ1254" s="420"/>
      <c r="DK1254" s="420"/>
      <c r="DL1254" s="420"/>
      <c r="DM1254" s="420"/>
      <c r="DN1254" s="420"/>
      <c r="DO1254" s="420"/>
      <c r="DP1254" s="420"/>
      <c r="DQ1254" s="420"/>
      <c r="DR1254" s="420"/>
      <c r="DS1254" s="420"/>
      <c r="DT1254" s="420"/>
      <c r="DU1254" s="420"/>
      <c r="DV1254" s="420"/>
      <c r="DW1254" s="420"/>
      <c r="DX1254" s="420"/>
      <c r="DY1254" s="420"/>
      <c r="DZ1254" s="420"/>
      <c r="EA1254" s="420"/>
      <c r="EB1254" s="420"/>
      <c r="EC1254" s="420"/>
      <c r="ED1254" s="420"/>
      <c r="EE1254" s="420"/>
      <c r="EF1254" s="420"/>
      <c r="EG1254" s="420"/>
      <c r="EH1254" s="420"/>
      <c r="EI1254" s="420"/>
      <c r="EJ1254" s="420"/>
      <c r="EK1254" s="420"/>
      <c r="EL1254" s="420"/>
      <c r="EM1254" s="420"/>
      <c r="EN1254" s="420"/>
      <c r="EO1254" s="420"/>
      <c r="EP1254" s="420"/>
      <c r="EQ1254" s="420"/>
      <c r="ER1254" s="420"/>
      <c r="ES1254" s="420"/>
      <c r="ET1254" s="420"/>
      <c r="EU1254" s="420"/>
      <c r="EV1254" s="420"/>
      <c r="EW1254" s="420"/>
      <c r="EX1254" s="420"/>
      <c r="EY1254" s="420"/>
      <c r="EZ1254" s="420"/>
      <c r="FA1254" s="420"/>
      <c r="FB1254" s="420"/>
      <c r="FC1254" s="420"/>
      <c r="FD1254" s="420"/>
      <c r="FE1254" s="420"/>
      <c r="FF1254" s="420"/>
      <c r="FG1254" s="420"/>
      <c r="FH1254" s="420"/>
      <c r="FI1254" s="420"/>
      <c r="FJ1254" s="420"/>
      <c r="FK1254" s="420"/>
      <c r="FL1254" s="420"/>
      <c r="FM1254" s="420"/>
      <c r="FN1254" s="420"/>
      <c r="FO1254" s="420"/>
      <c r="FP1254" s="420"/>
      <c r="FQ1254" s="420"/>
      <c r="FR1254" s="420"/>
      <c r="FS1254" s="420"/>
      <c r="FT1254" s="420"/>
      <c r="FU1254" s="420"/>
      <c r="FV1254" s="420"/>
      <c r="FW1254" s="420"/>
      <c r="FX1254" s="420"/>
      <c r="FY1254" s="420"/>
    </row>
    <row r="1255" spans="1:181" s="421" customFormat="1" ht="15.75" customHeight="1">
      <c r="A1255" s="918"/>
      <c r="B1255" s="919"/>
      <c r="C1255" s="920"/>
      <c r="D1255" s="921"/>
      <c r="E1255" s="922"/>
      <c r="F1255" s="923"/>
      <c r="G1255" s="420"/>
      <c r="H1255" s="420"/>
      <c r="I1255" s="420"/>
      <c r="J1255" s="420"/>
      <c r="K1255" s="420"/>
      <c r="L1255" s="420"/>
      <c r="M1255" s="420"/>
      <c r="N1255" s="646"/>
      <c r="O1255" s="646"/>
      <c r="P1255" s="420"/>
      <c r="Q1255" s="420"/>
      <c r="R1255" s="420"/>
      <c r="S1255" s="420"/>
      <c r="T1255" s="420"/>
      <c r="U1255" s="420"/>
      <c r="V1255" s="420"/>
      <c r="W1255" s="420"/>
      <c r="X1255" s="420"/>
      <c r="Y1255" s="420"/>
      <c r="Z1255" s="420"/>
      <c r="AA1255" s="420"/>
      <c r="AB1255" s="420"/>
      <c r="AC1255" s="420"/>
      <c r="AD1255" s="420"/>
      <c r="AE1255" s="420"/>
      <c r="AF1255" s="420"/>
      <c r="AG1255" s="420"/>
      <c r="AH1255" s="420"/>
      <c r="AI1255" s="420"/>
      <c r="AJ1255" s="420"/>
      <c r="AK1255" s="420"/>
      <c r="AL1255" s="420"/>
      <c r="AM1255" s="420"/>
      <c r="AN1255" s="420"/>
      <c r="AO1255" s="420"/>
      <c r="AP1255" s="420"/>
      <c r="AQ1255" s="420"/>
      <c r="AR1255" s="420"/>
      <c r="AS1255" s="420"/>
      <c r="AT1255" s="420"/>
      <c r="AU1255" s="420"/>
      <c r="AV1255" s="420"/>
      <c r="AW1255" s="420"/>
      <c r="AX1255" s="420"/>
      <c r="AY1255" s="420"/>
      <c r="AZ1255" s="420"/>
      <c r="BA1255" s="420"/>
      <c r="BB1255" s="420"/>
      <c r="BC1255" s="420"/>
      <c r="BD1255" s="420"/>
      <c r="BE1255" s="420"/>
      <c r="BF1255" s="420"/>
      <c r="BG1255" s="420"/>
      <c r="BH1255" s="420"/>
      <c r="BI1255" s="420"/>
      <c r="BJ1255" s="420"/>
      <c r="BK1255" s="420"/>
      <c r="BL1255" s="420"/>
      <c r="BM1255" s="420"/>
      <c r="BN1255" s="420"/>
      <c r="BO1255" s="420"/>
      <c r="BP1255" s="420"/>
      <c r="BQ1255" s="420"/>
      <c r="BR1255" s="420"/>
      <c r="BS1255" s="420"/>
      <c r="BT1255" s="420"/>
      <c r="BU1255" s="420"/>
      <c r="BV1255" s="420"/>
      <c r="BW1255" s="420"/>
      <c r="BX1255" s="420"/>
      <c r="BY1255" s="420"/>
      <c r="BZ1255" s="420"/>
      <c r="CA1255" s="420"/>
      <c r="CB1255" s="420"/>
      <c r="CC1255" s="420"/>
      <c r="CD1255" s="420"/>
      <c r="CE1255" s="420"/>
      <c r="CF1255" s="420"/>
      <c r="CG1255" s="420"/>
      <c r="CH1255" s="420"/>
      <c r="CI1255" s="420"/>
      <c r="CJ1255" s="420"/>
      <c r="CK1255" s="420"/>
      <c r="CL1255" s="420"/>
      <c r="CM1255" s="420"/>
      <c r="CN1255" s="420"/>
      <c r="CO1255" s="420"/>
      <c r="CP1255" s="420"/>
      <c r="CQ1255" s="420"/>
      <c r="CR1255" s="420"/>
      <c r="CS1255" s="420"/>
      <c r="CT1255" s="420"/>
      <c r="CU1255" s="420"/>
      <c r="CV1255" s="420"/>
      <c r="CW1255" s="420"/>
      <c r="CX1255" s="420"/>
      <c r="CY1255" s="420"/>
      <c r="CZ1255" s="420"/>
      <c r="DA1255" s="420"/>
      <c r="DB1255" s="420"/>
      <c r="DC1255" s="420"/>
      <c r="DD1255" s="420"/>
      <c r="DE1255" s="420"/>
      <c r="DF1255" s="420"/>
      <c r="DG1255" s="420"/>
      <c r="DH1255" s="420"/>
      <c r="DI1255" s="420"/>
      <c r="DJ1255" s="420"/>
      <c r="DK1255" s="420"/>
      <c r="DL1255" s="420"/>
      <c r="DM1255" s="420"/>
      <c r="DN1255" s="420"/>
      <c r="DO1255" s="420"/>
      <c r="DP1255" s="420"/>
      <c r="DQ1255" s="420"/>
      <c r="DR1255" s="420"/>
      <c r="DS1255" s="420"/>
      <c r="DT1255" s="420"/>
      <c r="DU1255" s="420"/>
      <c r="DV1255" s="420"/>
      <c r="DW1255" s="420"/>
      <c r="DX1255" s="420"/>
      <c r="DY1255" s="420"/>
      <c r="DZ1255" s="420"/>
      <c r="EA1255" s="420"/>
      <c r="EB1255" s="420"/>
      <c r="EC1255" s="420"/>
      <c r="ED1255" s="420"/>
      <c r="EE1255" s="420"/>
      <c r="EF1255" s="420"/>
      <c r="EG1255" s="420"/>
      <c r="EH1255" s="420"/>
      <c r="EI1255" s="420"/>
      <c r="EJ1255" s="420"/>
      <c r="EK1255" s="420"/>
      <c r="EL1255" s="420"/>
      <c r="EM1255" s="420"/>
      <c r="EN1255" s="420"/>
      <c r="EO1255" s="420"/>
      <c r="EP1255" s="420"/>
      <c r="EQ1255" s="420"/>
      <c r="ER1255" s="420"/>
      <c r="ES1255" s="420"/>
      <c r="ET1255" s="420"/>
      <c r="EU1255" s="420"/>
      <c r="EV1255" s="420"/>
      <c r="EW1255" s="420"/>
      <c r="EX1255" s="420"/>
      <c r="EY1255" s="420"/>
      <c r="EZ1255" s="420"/>
      <c r="FA1255" s="420"/>
      <c r="FB1255" s="420"/>
      <c r="FC1255" s="420"/>
      <c r="FD1255" s="420"/>
      <c r="FE1255" s="420"/>
      <c r="FF1255" s="420"/>
      <c r="FG1255" s="420"/>
      <c r="FH1255" s="420"/>
      <c r="FI1255" s="420"/>
      <c r="FJ1255" s="420"/>
      <c r="FK1255" s="420"/>
      <c r="FL1255" s="420"/>
      <c r="FM1255" s="420"/>
      <c r="FN1255" s="420"/>
      <c r="FO1255" s="420"/>
      <c r="FP1255" s="420"/>
      <c r="FQ1255" s="420"/>
      <c r="FR1255" s="420"/>
      <c r="FS1255" s="420"/>
      <c r="FT1255" s="420"/>
      <c r="FU1255" s="420"/>
      <c r="FV1255" s="420"/>
      <c r="FW1255" s="420"/>
      <c r="FX1255" s="420"/>
      <c r="FY1255" s="420"/>
    </row>
    <row r="1256" spans="1:256" s="421" customFormat="1" ht="76.5">
      <c r="A1256" s="918" t="s">
        <v>892</v>
      </c>
      <c r="B1256" s="936" t="s">
        <v>893</v>
      </c>
      <c r="C1256" s="920" t="s">
        <v>350</v>
      </c>
      <c r="D1256" s="921">
        <v>15</v>
      </c>
      <c r="E1256" s="922"/>
      <c r="F1256" s="380">
        <f>D1256*E1256</f>
        <v>0</v>
      </c>
      <c r="G1256" s="420"/>
      <c r="H1256" s="420"/>
      <c r="I1256" s="420"/>
      <c r="J1256" s="420"/>
      <c r="K1256" s="420"/>
      <c r="L1256" s="420"/>
      <c r="M1256" s="420"/>
      <c r="N1256" s="640">
        <f>E1256*1.2</f>
        <v>0</v>
      </c>
      <c r="O1256" s="640">
        <f>N1256*D1256</f>
        <v>0</v>
      </c>
      <c r="P1256" s="420"/>
      <c r="Q1256" s="420"/>
      <c r="R1256" s="420"/>
      <c r="S1256" s="420"/>
      <c r="T1256" s="420"/>
      <c r="U1256" s="420"/>
      <c r="V1256" s="420"/>
      <c r="W1256" s="420"/>
      <c r="X1256" s="420"/>
      <c r="Y1256" s="420"/>
      <c r="Z1256" s="420"/>
      <c r="AA1256" s="420"/>
      <c r="AB1256" s="420"/>
      <c r="AC1256" s="420"/>
      <c r="AD1256" s="420"/>
      <c r="AE1256" s="420"/>
      <c r="AF1256" s="420"/>
      <c r="AG1256" s="420"/>
      <c r="AH1256" s="420"/>
      <c r="AI1256" s="420"/>
      <c r="AJ1256" s="420"/>
      <c r="AK1256" s="420"/>
      <c r="AL1256" s="420"/>
      <c r="AM1256" s="420"/>
      <c r="AN1256" s="420"/>
      <c r="AO1256" s="420"/>
      <c r="AP1256" s="420"/>
      <c r="AQ1256" s="420"/>
      <c r="AR1256" s="420"/>
      <c r="AS1256" s="420"/>
      <c r="AT1256" s="420"/>
      <c r="AU1256" s="420"/>
      <c r="AV1256" s="420"/>
      <c r="AW1256" s="420"/>
      <c r="AX1256" s="420"/>
      <c r="AY1256" s="420"/>
      <c r="AZ1256" s="420"/>
      <c r="BA1256" s="420"/>
      <c r="BB1256" s="420"/>
      <c r="BC1256" s="420"/>
      <c r="BD1256" s="420"/>
      <c r="BE1256" s="420"/>
      <c r="BF1256" s="420"/>
      <c r="BG1256" s="420"/>
      <c r="BH1256" s="420"/>
      <c r="BI1256" s="420"/>
      <c r="BJ1256" s="420"/>
      <c r="BK1256" s="420"/>
      <c r="BL1256" s="420"/>
      <c r="BM1256" s="420"/>
      <c r="BN1256" s="420"/>
      <c r="BO1256" s="420"/>
      <c r="BP1256" s="420"/>
      <c r="BQ1256" s="420"/>
      <c r="BR1256" s="420"/>
      <c r="BS1256" s="420"/>
      <c r="BT1256" s="420"/>
      <c r="BU1256" s="420"/>
      <c r="BV1256" s="420"/>
      <c r="BW1256" s="420"/>
      <c r="BX1256" s="420"/>
      <c r="BY1256" s="420"/>
      <c r="BZ1256" s="420"/>
      <c r="CA1256" s="420"/>
      <c r="CB1256" s="420"/>
      <c r="CC1256" s="420"/>
      <c r="CD1256" s="420"/>
      <c r="CE1256" s="420"/>
      <c r="CF1256" s="420"/>
      <c r="CG1256" s="420"/>
      <c r="CH1256" s="420"/>
      <c r="CI1256" s="420"/>
      <c r="CJ1256" s="420"/>
      <c r="CK1256" s="420"/>
      <c r="CL1256" s="420"/>
      <c r="CM1256" s="420"/>
      <c r="CN1256" s="420"/>
      <c r="CO1256" s="420"/>
      <c r="CP1256" s="420"/>
      <c r="CQ1256" s="420"/>
      <c r="CR1256" s="420"/>
      <c r="CS1256" s="420"/>
      <c r="CT1256" s="420"/>
      <c r="CU1256" s="420"/>
      <c r="CV1256" s="420"/>
      <c r="CW1256" s="420"/>
      <c r="CX1256" s="420"/>
      <c r="CY1256" s="420"/>
      <c r="CZ1256" s="420"/>
      <c r="DA1256" s="420"/>
      <c r="DB1256" s="420"/>
      <c r="DC1256" s="420"/>
      <c r="DD1256" s="420"/>
      <c r="DE1256" s="420"/>
      <c r="DF1256" s="420"/>
      <c r="DG1256" s="420"/>
      <c r="DH1256" s="420"/>
      <c r="DI1256" s="420"/>
      <c r="DJ1256" s="420"/>
      <c r="DK1256" s="420"/>
      <c r="DL1256" s="420"/>
      <c r="DM1256" s="420"/>
      <c r="DN1256" s="420"/>
      <c r="DO1256" s="420"/>
      <c r="DP1256" s="420"/>
      <c r="DQ1256" s="420"/>
      <c r="DR1256" s="420"/>
      <c r="DS1256" s="420"/>
      <c r="DT1256" s="420"/>
      <c r="DU1256" s="420"/>
      <c r="DV1256" s="420"/>
      <c r="DW1256" s="420"/>
      <c r="DX1256" s="420"/>
      <c r="DY1256" s="420"/>
      <c r="DZ1256" s="420"/>
      <c r="EA1256" s="420"/>
      <c r="EB1256" s="420"/>
      <c r="EC1256" s="420"/>
      <c r="ED1256" s="420"/>
      <c r="EE1256" s="420"/>
      <c r="EF1256" s="420"/>
      <c r="EG1256" s="420"/>
      <c r="EH1256" s="420"/>
      <c r="EI1256" s="420"/>
      <c r="EJ1256" s="420"/>
      <c r="EK1256" s="420"/>
      <c r="EL1256" s="420"/>
      <c r="EM1256" s="420"/>
      <c r="EN1256" s="420"/>
      <c r="EO1256" s="420"/>
      <c r="EP1256" s="420"/>
      <c r="EQ1256" s="420"/>
      <c r="ER1256" s="420"/>
      <c r="ES1256" s="420"/>
      <c r="ET1256" s="420"/>
      <c r="EU1256" s="420"/>
      <c r="EV1256" s="420"/>
      <c r="EW1256" s="420"/>
      <c r="EX1256" s="420"/>
      <c r="EY1256" s="420"/>
      <c r="EZ1256" s="420"/>
      <c r="FA1256" s="420"/>
      <c r="FB1256" s="420"/>
      <c r="FC1256" s="420"/>
      <c r="FD1256" s="420"/>
      <c r="FE1256" s="420"/>
      <c r="FF1256" s="420"/>
      <c r="FG1256" s="420"/>
      <c r="FH1256" s="420"/>
      <c r="FI1256" s="420"/>
      <c r="FJ1256" s="420"/>
      <c r="FK1256" s="420"/>
      <c r="FL1256" s="420"/>
      <c r="FM1256" s="420"/>
      <c r="FN1256" s="420"/>
      <c r="FO1256" s="420"/>
      <c r="FP1256" s="420"/>
      <c r="FQ1256" s="420"/>
      <c r="FR1256" s="420"/>
      <c r="FS1256" s="420"/>
      <c r="FT1256" s="420"/>
      <c r="FU1256" s="420"/>
      <c r="FV1256" s="420"/>
      <c r="FW1256" s="420"/>
      <c r="FX1256" s="420"/>
      <c r="FY1256" s="420"/>
      <c r="IV1256" s="420"/>
    </row>
    <row r="1257" spans="1:256" s="421" customFormat="1" ht="51">
      <c r="A1257" s="918" t="s">
        <v>894</v>
      </c>
      <c r="B1257" s="919" t="s">
        <v>895</v>
      </c>
      <c r="C1257" s="920" t="s">
        <v>350</v>
      </c>
      <c r="D1257" s="921">
        <v>40</v>
      </c>
      <c r="E1257" s="922"/>
      <c r="F1257" s="380">
        <f>D1257*E1257</f>
        <v>0</v>
      </c>
      <c r="G1257" s="420"/>
      <c r="H1257" s="420"/>
      <c r="I1257" s="420"/>
      <c r="J1257" s="420"/>
      <c r="K1257" s="420"/>
      <c r="L1257" s="420"/>
      <c r="M1257" s="420"/>
      <c r="N1257" s="640">
        <f>E1257*1.2</f>
        <v>0</v>
      </c>
      <c r="O1257" s="640">
        <f>N1257*D1257</f>
        <v>0</v>
      </c>
      <c r="P1257" s="420"/>
      <c r="Q1257" s="420"/>
      <c r="R1257" s="420"/>
      <c r="S1257" s="420"/>
      <c r="T1257" s="420"/>
      <c r="U1257" s="420"/>
      <c r="V1257" s="420"/>
      <c r="W1257" s="420"/>
      <c r="X1257" s="420"/>
      <c r="Y1257" s="420"/>
      <c r="Z1257" s="420"/>
      <c r="AA1257" s="420"/>
      <c r="AB1257" s="420"/>
      <c r="AC1257" s="420"/>
      <c r="AD1257" s="420"/>
      <c r="AE1257" s="420"/>
      <c r="AF1257" s="420"/>
      <c r="AG1257" s="420"/>
      <c r="AH1257" s="420"/>
      <c r="AI1257" s="420"/>
      <c r="AJ1257" s="420"/>
      <c r="AK1257" s="420"/>
      <c r="AL1257" s="420"/>
      <c r="AM1257" s="420"/>
      <c r="AN1257" s="420"/>
      <c r="AO1257" s="420"/>
      <c r="AP1257" s="420"/>
      <c r="AQ1257" s="420"/>
      <c r="AR1257" s="420"/>
      <c r="AS1257" s="420"/>
      <c r="AT1257" s="420"/>
      <c r="AU1257" s="420"/>
      <c r="AV1257" s="420"/>
      <c r="AW1257" s="420"/>
      <c r="AX1257" s="420"/>
      <c r="AY1257" s="420"/>
      <c r="AZ1257" s="420"/>
      <c r="BA1257" s="420"/>
      <c r="BB1257" s="420"/>
      <c r="BC1257" s="420"/>
      <c r="BD1257" s="420"/>
      <c r="BE1257" s="420"/>
      <c r="BF1257" s="420"/>
      <c r="BG1257" s="420"/>
      <c r="BH1257" s="420"/>
      <c r="BI1257" s="420"/>
      <c r="BJ1257" s="420"/>
      <c r="BK1257" s="420"/>
      <c r="BL1257" s="420"/>
      <c r="BM1257" s="420"/>
      <c r="BN1257" s="420"/>
      <c r="BO1257" s="420"/>
      <c r="BP1257" s="420"/>
      <c r="BQ1257" s="420"/>
      <c r="BR1257" s="420"/>
      <c r="BS1257" s="420"/>
      <c r="BT1257" s="420"/>
      <c r="BU1257" s="420"/>
      <c r="BV1257" s="420"/>
      <c r="BW1257" s="420"/>
      <c r="BX1257" s="420"/>
      <c r="BY1257" s="420"/>
      <c r="BZ1257" s="420"/>
      <c r="CA1257" s="420"/>
      <c r="CB1257" s="420"/>
      <c r="CC1257" s="420"/>
      <c r="CD1257" s="420"/>
      <c r="CE1257" s="420"/>
      <c r="CF1257" s="420"/>
      <c r="CG1257" s="420"/>
      <c r="CH1257" s="420"/>
      <c r="CI1257" s="420"/>
      <c r="CJ1257" s="420"/>
      <c r="CK1257" s="420"/>
      <c r="CL1257" s="420"/>
      <c r="CM1257" s="420"/>
      <c r="CN1257" s="420"/>
      <c r="CO1257" s="420"/>
      <c r="CP1257" s="420"/>
      <c r="CQ1257" s="420"/>
      <c r="CR1257" s="420"/>
      <c r="CS1257" s="420"/>
      <c r="CT1257" s="420"/>
      <c r="CU1257" s="420"/>
      <c r="CV1257" s="420"/>
      <c r="CW1257" s="420"/>
      <c r="CX1257" s="420"/>
      <c r="CY1257" s="420"/>
      <c r="CZ1257" s="420"/>
      <c r="DA1257" s="420"/>
      <c r="DB1257" s="420"/>
      <c r="DC1257" s="420"/>
      <c r="DD1257" s="420"/>
      <c r="DE1257" s="420"/>
      <c r="DF1257" s="420"/>
      <c r="DG1257" s="420"/>
      <c r="DH1257" s="420"/>
      <c r="DI1257" s="420"/>
      <c r="DJ1257" s="420"/>
      <c r="DK1257" s="420"/>
      <c r="DL1257" s="420"/>
      <c r="DM1257" s="420"/>
      <c r="DN1257" s="420"/>
      <c r="DO1257" s="420"/>
      <c r="DP1257" s="420"/>
      <c r="DQ1257" s="420"/>
      <c r="DR1257" s="420"/>
      <c r="DS1257" s="420"/>
      <c r="DT1257" s="420"/>
      <c r="DU1257" s="420"/>
      <c r="DV1257" s="420"/>
      <c r="DW1257" s="420"/>
      <c r="DX1257" s="420"/>
      <c r="DY1257" s="420"/>
      <c r="DZ1257" s="420"/>
      <c r="EA1257" s="420"/>
      <c r="EB1257" s="420"/>
      <c r="EC1257" s="420"/>
      <c r="ED1257" s="420"/>
      <c r="EE1257" s="420"/>
      <c r="EF1257" s="420"/>
      <c r="EG1257" s="420"/>
      <c r="EH1257" s="420"/>
      <c r="EI1257" s="420"/>
      <c r="EJ1257" s="420"/>
      <c r="EK1257" s="420"/>
      <c r="EL1257" s="420"/>
      <c r="EM1257" s="420"/>
      <c r="EN1257" s="420"/>
      <c r="EO1257" s="420"/>
      <c r="EP1257" s="420"/>
      <c r="EQ1257" s="420"/>
      <c r="ER1257" s="420"/>
      <c r="ES1257" s="420"/>
      <c r="ET1257" s="420"/>
      <c r="EU1257" s="420"/>
      <c r="EV1257" s="420"/>
      <c r="EW1257" s="420"/>
      <c r="EX1257" s="420"/>
      <c r="EY1257" s="420"/>
      <c r="EZ1257" s="420"/>
      <c r="FA1257" s="420"/>
      <c r="FB1257" s="420"/>
      <c r="FC1257" s="420"/>
      <c r="FD1257" s="420"/>
      <c r="FE1257" s="420"/>
      <c r="FF1257" s="420"/>
      <c r="FG1257" s="420"/>
      <c r="FH1257" s="420"/>
      <c r="FI1257" s="420"/>
      <c r="FJ1257" s="420"/>
      <c r="FK1257" s="420"/>
      <c r="FL1257" s="420"/>
      <c r="FM1257" s="420"/>
      <c r="FN1257" s="420"/>
      <c r="FO1257" s="420"/>
      <c r="FP1257" s="420"/>
      <c r="FQ1257" s="420"/>
      <c r="FR1257" s="420"/>
      <c r="FS1257" s="420"/>
      <c r="FT1257" s="420"/>
      <c r="FU1257" s="420"/>
      <c r="FV1257" s="420"/>
      <c r="FW1257" s="420"/>
      <c r="FX1257" s="420"/>
      <c r="FY1257" s="420"/>
      <c r="IV1257" s="420"/>
    </row>
    <row r="1258" spans="1:256" s="421" customFormat="1" ht="76.5">
      <c r="A1258" s="918" t="s">
        <v>896</v>
      </c>
      <c r="B1258" s="919" t="s">
        <v>897</v>
      </c>
      <c r="C1258" s="920" t="s">
        <v>47</v>
      </c>
      <c r="D1258" s="921">
        <v>1</v>
      </c>
      <c r="E1258" s="922"/>
      <c r="F1258" s="380">
        <f>D1258*E1258</f>
        <v>0</v>
      </c>
      <c r="G1258" s="420"/>
      <c r="H1258" s="420"/>
      <c r="I1258" s="420"/>
      <c r="J1258" s="420"/>
      <c r="K1258" s="420"/>
      <c r="L1258" s="420"/>
      <c r="M1258" s="420"/>
      <c r="N1258" s="640">
        <f>E1258*1.2</f>
        <v>0</v>
      </c>
      <c r="O1258" s="640">
        <f>N1258*D1258</f>
        <v>0</v>
      </c>
      <c r="P1258" s="420"/>
      <c r="Q1258" s="420"/>
      <c r="R1258" s="420"/>
      <c r="S1258" s="420"/>
      <c r="T1258" s="420"/>
      <c r="U1258" s="420"/>
      <c r="V1258" s="420"/>
      <c r="W1258" s="420"/>
      <c r="X1258" s="420"/>
      <c r="Y1258" s="420"/>
      <c r="Z1258" s="420"/>
      <c r="AA1258" s="420"/>
      <c r="AB1258" s="420"/>
      <c r="AC1258" s="420"/>
      <c r="AD1258" s="420"/>
      <c r="AE1258" s="420"/>
      <c r="AF1258" s="420"/>
      <c r="AG1258" s="420"/>
      <c r="AH1258" s="420"/>
      <c r="AI1258" s="420"/>
      <c r="AJ1258" s="420"/>
      <c r="AK1258" s="420"/>
      <c r="AL1258" s="420"/>
      <c r="AM1258" s="420"/>
      <c r="AN1258" s="420"/>
      <c r="AO1258" s="420"/>
      <c r="AP1258" s="420"/>
      <c r="AQ1258" s="420"/>
      <c r="AR1258" s="420"/>
      <c r="AS1258" s="420"/>
      <c r="AT1258" s="420"/>
      <c r="AU1258" s="420"/>
      <c r="AV1258" s="420"/>
      <c r="AW1258" s="420"/>
      <c r="AX1258" s="420"/>
      <c r="AY1258" s="420"/>
      <c r="AZ1258" s="420"/>
      <c r="BA1258" s="420"/>
      <c r="BB1258" s="420"/>
      <c r="BC1258" s="420"/>
      <c r="BD1258" s="420"/>
      <c r="BE1258" s="420"/>
      <c r="BF1258" s="420"/>
      <c r="BG1258" s="420"/>
      <c r="BH1258" s="420"/>
      <c r="BI1258" s="420"/>
      <c r="BJ1258" s="420"/>
      <c r="BK1258" s="420"/>
      <c r="BL1258" s="420"/>
      <c r="BM1258" s="420"/>
      <c r="BN1258" s="420"/>
      <c r="BO1258" s="420"/>
      <c r="BP1258" s="420"/>
      <c r="BQ1258" s="420"/>
      <c r="BR1258" s="420"/>
      <c r="BS1258" s="420"/>
      <c r="BT1258" s="420"/>
      <c r="BU1258" s="420"/>
      <c r="BV1258" s="420"/>
      <c r="BW1258" s="420"/>
      <c r="BX1258" s="420"/>
      <c r="BY1258" s="420"/>
      <c r="BZ1258" s="420"/>
      <c r="CA1258" s="420"/>
      <c r="CB1258" s="420"/>
      <c r="CC1258" s="420"/>
      <c r="CD1258" s="420"/>
      <c r="CE1258" s="420"/>
      <c r="CF1258" s="420"/>
      <c r="CG1258" s="420"/>
      <c r="CH1258" s="420"/>
      <c r="CI1258" s="420"/>
      <c r="CJ1258" s="420"/>
      <c r="CK1258" s="420"/>
      <c r="CL1258" s="420"/>
      <c r="CM1258" s="420"/>
      <c r="CN1258" s="420"/>
      <c r="CO1258" s="420"/>
      <c r="CP1258" s="420"/>
      <c r="CQ1258" s="420"/>
      <c r="CR1258" s="420"/>
      <c r="CS1258" s="420"/>
      <c r="CT1258" s="420"/>
      <c r="CU1258" s="420"/>
      <c r="CV1258" s="420"/>
      <c r="CW1258" s="420"/>
      <c r="CX1258" s="420"/>
      <c r="CY1258" s="420"/>
      <c r="CZ1258" s="420"/>
      <c r="DA1258" s="420"/>
      <c r="DB1258" s="420"/>
      <c r="DC1258" s="420"/>
      <c r="DD1258" s="420"/>
      <c r="DE1258" s="420"/>
      <c r="DF1258" s="420"/>
      <c r="DG1258" s="420"/>
      <c r="DH1258" s="420"/>
      <c r="DI1258" s="420"/>
      <c r="DJ1258" s="420"/>
      <c r="DK1258" s="420"/>
      <c r="DL1258" s="420"/>
      <c r="DM1258" s="420"/>
      <c r="DN1258" s="420"/>
      <c r="DO1258" s="420"/>
      <c r="DP1258" s="420"/>
      <c r="DQ1258" s="420"/>
      <c r="DR1258" s="420"/>
      <c r="DS1258" s="420"/>
      <c r="DT1258" s="420"/>
      <c r="DU1258" s="420"/>
      <c r="DV1258" s="420"/>
      <c r="DW1258" s="420"/>
      <c r="DX1258" s="420"/>
      <c r="DY1258" s="420"/>
      <c r="DZ1258" s="420"/>
      <c r="EA1258" s="420"/>
      <c r="EB1258" s="420"/>
      <c r="EC1258" s="420"/>
      <c r="ED1258" s="420"/>
      <c r="EE1258" s="420"/>
      <c r="EF1258" s="420"/>
      <c r="EG1258" s="420"/>
      <c r="EH1258" s="420"/>
      <c r="EI1258" s="420"/>
      <c r="EJ1258" s="420"/>
      <c r="EK1258" s="420"/>
      <c r="EL1258" s="420"/>
      <c r="EM1258" s="420"/>
      <c r="EN1258" s="420"/>
      <c r="EO1258" s="420"/>
      <c r="EP1258" s="420"/>
      <c r="EQ1258" s="420"/>
      <c r="ER1258" s="420"/>
      <c r="ES1258" s="420"/>
      <c r="ET1258" s="420"/>
      <c r="EU1258" s="420"/>
      <c r="EV1258" s="420"/>
      <c r="EW1258" s="420"/>
      <c r="EX1258" s="420"/>
      <c r="EY1258" s="420"/>
      <c r="EZ1258" s="420"/>
      <c r="FA1258" s="420"/>
      <c r="FB1258" s="420"/>
      <c r="FC1258" s="420"/>
      <c r="FD1258" s="420"/>
      <c r="FE1258" s="420"/>
      <c r="FF1258" s="420"/>
      <c r="FG1258" s="420"/>
      <c r="FH1258" s="420"/>
      <c r="FI1258" s="420"/>
      <c r="FJ1258" s="420"/>
      <c r="FK1258" s="420"/>
      <c r="FL1258" s="420"/>
      <c r="FM1258" s="420"/>
      <c r="FN1258" s="420"/>
      <c r="FO1258" s="420"/>
      <c r="FP1258" s="420"/>
      <c r="FQ1258" s="420"/>
      <c r="FR1258" s="420"/>
      <c r="FS1258" s="420"/>
      <c r="FT1258" s="420"/>
      <c r="FU1258" s="420"/>
      <c r="FV1258" s="420"/>
      <c r="FW1258" s="420"/>
      <c r="FX1258" s="420"/>
      <c r="FY1258" s="420"/>
      <c r="IV1258" s="420"/>
    </row>
    <row r="1259" spans="1:256" s="421" customFormat="1" ht="51">
      <c r="A1259" s="918" t="s">
        <v>898</v>
      </c>
      <c r="B1259" s="919" t="s">
        <v>899</v>
      </c>
      <c r="C1259" s="920" t="s">
        <v>47</v>
      </c>
      <c r="D1259" s="921">
        <v>2</v>
      </c>
      <c r="E1259" s="922"/>
      <c r="F1259" s="380">
        <f>D1259*E1259</f>
        <v>0</v>
      </c>
      <c r="G1259" s="420"/>
      <c r="H1259" s="420"/>
      <c r="I1259" s="420"/>
      <c r="J1259" s="420"/>
      <c r="K1259" s="420"/>
      <c r="L1259" s="420"/>
      <c r="M1259" s="420"/>
      <c r="N1259" s="640">
        <f>E1259*1.2</f>
        <v>0</v>
      </c>
      <c r="O1259" s="640">
        <f>N1259*D1259</f>
        <v>0</v>
      </c>
      <c r="P1259" s="420"/>
      <c r="Q1259" s="420"/>
      <c r="R1259" s="420"/>
      <c r="S1259" s="420"/>
      <c r="T1259" s="420"/>
      <c r="U1259" s="420"/>
      <c r="V1259" s="420"/>
      <c r="W1259" s="420"/>
      <c r="X1259" s="420"/>
      <c r="Y1259" s="420"/>
      <c r="Z1259" s="420"/>
      <c r="AA1259" s="420"/>
      <c r="AB1259" s="420"/>
      <c r="AC1259" s="420"/>
      <c r="AD1259" s="420"/>
      <c r="AE1259" s="420"/>
      <c r="AF1259" s="420"/>
      <c r="AG1259" s="420"/>
      <c r="AH1259" s="420"/>
      <c r="AI1259" s="420"/>
      <c r="AJ1259" s="420"/>
      <c r="AK1259" s="420"/>
      <c r="AL1259" s="420"/>
      <c r="AM1259" s="420"/>
      <c r="AN1259" s="420"/>
      <c r="AO1259" s="420"/>
      <c r="AP1259" s="420"/>
      <c r="AQ1259" s="420"/>
      <c r="AR1259" s="420"/>
      <c r="AS1259" s="420"/>
      <c r="AT1259" s="420"/>
      <c r="AU1259" s="420"/>
      <c r="AV1259" s="420"/>
      <c r="AW1259" s="420"/>
      <c r="AX1259" s="420"/>
      <c r="AY1259" s="420"/>
      <c r="AZ1259" s="420"/>
      <c r="BA1259" s="420"/>
      <c r="BB1259" s="420"/>
      <c r="BC1259" s="420"/>
      <c r="BD1259" s="420"/>
      <c r="BE1259" s="420"/>
      <c r="BF1259" s="420"/>
      <c r="BG1259" s="420"/>
      <c r="BH1259" s="420"/>
      <c r="BI1259" s="420"/>
      <c r="BJ1259" s="420"/>
      <c r="BK1259" s="420"/>
      <c r="BL1259" s="420"/>
      <c r="BM1259" s="420"/>
      <c r="BN1259" s="420"/>
      <c r="BO1259" s="420"/>
      <c r="BP1259" s="420"/>
      <c r="BQ1259" s="420"/>
      <c r="BR1259" s="420"/>
      <c r="BS1259" s="420"/>
      <c r="BT1259" s="420"/>
      <c r="BU1259" s="420"/>
      <c r="BV1259" s="420"/>
      <c r="BW1259" s="420"/>
      <c r="BX1259" s="420"/>
      <c r="BY1259" s="420"/>
      <c r="BZ1259" s="420"/>
      <c r="CA1259" s="420"/>
      <c r="CB1259" s="420"/>
      <c r="CC1259" s="420"/>
      <c r="CD1259" s="420"/>
      <c r="CE1259" s="420"/>
      <c r="CF1259" s="420"/>
      <c r="CG1259" s="420"/>
      <c r="CH1259" s="420"/>
      <c r="CI1259" s="420"/>
      <c r="CJ1259" s="420"/>
      <c r="CK1259" s="420"/>
      <c r="CL1259" s="420"/>
      <c r="CM1259" s="420"/>
      <c r="CN1259" s="420"/>
      <c r="CO1259" s="420"/>
      <c r="CP1259" s="420"/>
      <c r="CQ1259" s="420"/>
      <c r="CR1259" s="420"/>
      <c r="CS1259" s="420"/>
      <c r="CT1259" s="420"/>
      <c r="CU1259" s="420"/>
      <c r="CV1259" s="420"/>
      <c r="CW1259" s="420"/>
      <c r="CX1259" s="420"/>
      <c r="CY1259" s="420"/>
      <c r="CZ1259" s="420"/>
      <c r="DA1259" s="420"/>
      <c r="DB1259" s="420"/>
      <c r="DC1259" s="420"/>
      <c r="DD1259" s="420"/>
      <c r="DE1259" s="420"/>
      <c r="DF1259" s="420"/>
      <c r="DG1259" s="420"/>
      <c r="DH1259" s="420"/>
      <c r="DI1259" s="420"/>
      <c r="DJ1259" s="420"/>
      <c r="DK1259" s="420"/>
      <c r="DL1259" s="420"/>
      <c r="DM1259" s="420"/>
      <c r="DN1259" s="420"/>
      <c r="DO1259" s="420"/>
      <c r="DP1259" s="420"/>
      <c r="DQ1259" s="420"/>
      <c r="DR1259" s="420"/>
      <c r="DS1259" s="420"/>
      <c r="DT1259" s="420"/>
      <c r="DU1259" s="420"/>
      <c r="DV1259" s="420"/>
      <c r="DW1259" s="420"/>
      <c r="DX1259" s="420"/>
      <c r="DY1259" s="420"/>
      <c r="DZ1259" s="420"/>
      <c r="EA1259" s="420"/>
      <c r="EB1259" s="420"/>
      <c r="EC1259" s="420"/>
      <c r="ED1259" s="420"/>
      <c r="EE1259" s="420"/>
      <c r="EF1259" s="420"/>
      <c r="EG1259" s="420"/>
      <c r="EH1259" s="420"/>
      <c r="EI1259" s="420"/>
      <c r="EJ1259" s="420"/>
      <c r="EK1259" s="420"/>
      <c r="EL1259" s="420"/>
      <c r="EM1259" s="420"/>
      <c r="EN1259" s="420"/>
      <c r="EO1259" s="420"/>
      <c r="EP1259" s="420"/>
      <c r="EQ1259" s="420"/>
      <c r="ER1259" s="420"/>
      <c r="ES1259" s="420"/>
      <c r="ET1259" s="420"/>
      <c r="EU1259" s="420"/>
      <c r="EV1259" s="420"/>
      <c r="EW1259" s="420"/>
      <c r="EX1259" s="420"/>
      <c r="EY1259" s="420"/>
      <c r="EZ1259" s="420"/>
      <c r="FA1259" s="420"/>
      <c r="FB1259" s="420"/>
      <c r="FC1259" s="420"/>
      <c r="FD1259" s="420"/>
      <c r="FE1259" s="420"/>
      <c r="FF1259" s="420"/>
      <c r="FG1259" s="420"/>
      <c r="FH1259" s="420"/>
      <c r="FI1259" s="420"/>
      <c r="FJ1259" s="420"/>
      <c r="FK1259" s="420"/>
      <c r="FL1259" s="420"/>
      <c r="FM1259" s="420"/>
      <c r="FN1259" s="420"/>
      <c r="FO1259" s="420"/>
      <c r="FP1259" s="420"/>
      <c r="FQ1259" s="420"/>
      <c r="FR1259" s="420"/>
      <c r="FS1259" s="420"/>
      <c r="FT1259" s="420"/>
      <c r="FU1259" s="420"/>
      <c r="FV1259" s="420"/>
      <c r="FW1259" s="420"/>
      <c r="FX1259" s="420"/>
      <c r="FY1259" s="420"/>
      <c r="IV1259" s="420"/>
    </row>
    <row r="1260" spans="1:256" s="421" customFormat="1" ht="19.5" customHeight="1">
      <c r="A1260" s="918" t="s">
        <v>900</v>
      </c>
      <c r="B1260" s="927" t="s">
        <v>901</v>
      </c>
      <c r="C1260" s="920" t="s">
        <v>863</v>
      </c>
      <c r="D1260" s="921">
        <v>1</v>
      </c>
      <c r="E1260" s="922"/>
      <c r="F1260" s="380">
        <f>D1260*E1260</f>
        <v>0</v>
      </c>
      <c r="G1260" s="420"/>
      <c r="H1260" s="420"/>
      <c r="I1260" s="420"/>
      <c r="J1260" s="420"/>
      <c r="K1260" s="420"/>
      <c r="L1260" s="420"/>
      <c r="M1260" s="420"/>
      <c r="N1260" s="640">
        <f>E1260*1.2</f>
        <v>0</v>
      </c>
      <c r="O1260" s="640">
        <f>N1260*D1260</f>
        <v>0</v>
      </c>
      <c r="P1260" s="420"/>
      <c r="Q1260" s="420"/>
      <c r="R1260" s="420"/>
      <c r="S1260" s="420"/>
      <c r="T1260" s="420"/>
      <c r="U1260" s="420"/>
      <c r="V1260" s="420"/>
      <c r="W1260" s="420"/>
      <c r="X1260" s="420"/>
      <c r="Y1260" s="420"/>
      <c r="Z1260" s="420"/>
      <c r="AA1260" s="420"/>
      <c r="AB1260" s="420"/>
      <c r="AC1260" s="420"/>
      <c r="AD1260" s="420"/>
      <c r="AE1260" s="420"/>
      <c r="AF1260" s="420"/>
      <c r="AG1260" s="420"/>
      <c r="AH1260" s="420"/>
      <c r="AI1260" s="420"/>
      <c r="AJ1260" s="420"/>
      <c r="AK1260" s="420"/>
      <c r="AL1260" s="420"/>
      <c r="AM1260" s="420"/>
      <c r="AN1260" s="420"/>
      <c r="AO1260" s="420"/>
      <c r="AP1260" s="420"/>
      <c r="AQ1260" s="420"/>
      <c r="AR1260" s="420"/>
      <c r="AS1260" s="420"/>
      <c r="AT1260" s="420"/>
      <c r="AU1260" s="420"/>
      <c r="AV1260" s="420"/>
      <c r="AW1260" s="420"/>
      <c r="AX1260" s="420"/>
      <c r="AY1260" s="420"/>
      <c r="AZ1260" s="420"/>
      <c r="BA1260" s="420"/>
      <c r="BB1260" s="420"/>
      <c r="BC1260" s="420"/>
      <c r="BD1260" s="420"/>
      <c r="BE1260" s="420"/>
      <c r="BF1260" s="420"/>
      <c r="BG1260" s="420"/>
      <c r="BH1260" s="420"/>
      <c r="BI1260" s="420"/>
      <c r="BJ1260" s="420"/>
      <c r="BK1260" s="420"/>
      <c r="BL1260" s="420"/>
      <c r="BM1260" s="420"/>
      <c r="BN1260" s="420"/>
      <c r="BO1260" s="420"/>
      <c r="BP1260" s="420"/>
      <c r="BQ1260" s="420"/>
      <c r="BR1260" s="420"/>
      <c r="BS1260" s="420"/>
      <c r="BT1260" s="420"/>
      <c r="BU1260" s="420"/>
      <c r="BV1260" s="420"/>
      <c r="BW1260" s="420"/>
      <c r="BX1260" s="420"/>
      <c r="BY1260" s="420"/>
      <c r="BZ1260" s="420"/>
      <c r="CA1260" s="420"/>
      <c r="CB1260" s="420"/>
      <c r="CC1260" s="420"/>
      <c r="CD1260" s="420"/>
      <c r="CE1260" s="420"/>
      <c r="CF1260" s="420"/>
      <c r="CG1260" s="420"/>
      <c r="CH1260" s="420"/>
      <c r="CI1260" s="420"/>
      <c r="CJ1260" s="420"/>
      <c r="CK1260" s="420"/>
      <c r="CL1260" s="420"/>
      <c r="CM1260" s="420"/>
      <c r="CN1260" s="420"/>
      <c r="CO1260" s="420"/>
      <c r="CP1260" s="420"/>
      <c r="CQ1260" s="420"/>
      <c r="CR1260" s="420"/>
      <c r="CS1260" s="420"/>
      <c r="CT1260" s="420"/>
      <c r="CU1260" s="420"/>
      <c r="CV1260" s="420"/>
      <c r="CW1260" s="420"/>
      <c r="CX1260" s="420"/>
      <c r="CY1260" s="420"/>
      <c r="CZ1260" s="420"/>
      <c r="DA1260" s="420"/>
      <c r="DB1260" s="420"/>
      <c r="DC1260" s="420"/>
      <c r="DD1260" s="420"/>
      <c r="DE1260" s="420"/>
      <c r="DF1260" s="420"/>
      <c r="DG1260" s="420"/>
      <c r="DH1260" s="420"/>
      <c r="DI1260" s="420"/>
      <c r="DJ1260" s="420"/>
      <c r="DK1260" s="420"/>
      <c r="DL1260" s="420"/>
      <c r="DM1260" s="420"/>
      <c r="DN1260" s="420"/>
      <c r="DO1260" s="420"/>
      <c r="DP1260" s="420"/>
      <c r="DQ1260" s="420"/>
      <c r="DR1260" s="420"/>
      <c r="DS1260" s="420"/>
      <c r="DT1260" s="420"/>
      <c r="DU1260" s="420"/>
      <c r="DV1260" s="420"/>
      <c r="DW1260" s="420"/>
      <c r="DX1260" s="420"/>
      <c r="DY1260" s="420"/>
      <c r="DZ1260" s="420"/>
      <c r="EA1260" s="420"/>
      <c r="EB1260" s="420"/>
      <c r="EC1260" s="420"/>
      <c r="ED1260" s="420"/>
      <c r="EE1260" s="420"/>
      <c r="EF1260" s="420"/>
      <c r="EG1260" s="420"/>
      <c r="EH1260" s="420"/>
      <c r="EI1260" s="420"/>
      <c r="EJ1260" s="420"/>
      <c r="EK1260" s="420"/>
      <c r="EL1260" s="420"/>
      <c r="EM1260" s="420"/>
      <c r="EN1260" s="420"/>
      <c r="EO1260" s="420"/>
      <c r="EP1260" s="420"/>
      <c r="EQ1260" s="420"/>
      <c r="ER1260" s="420"/>
      <c r="ES1260" s="420"/>
      <c r="ET1260" s="420"/>
      <c r="EU1260" s="420"/>
      <c r="EV1260" s="420"/>
      <c r="EW1260" s="420"/>
      <c r="EX1260" s="420"/>
      <c r="EY1260" s="420"/>
      <c r="EZ1260" s="420"/>
      <c r="FA1260" s="420"/>
      <c r="FB1260" s="420"/>
      <c r="FC1260" s="420"/>
      <c r="FD1260" s="420"/>
      <c r="FE1260" s="420"/>
      <c r="FF1260" s="420"/>
      <c r="FG1260" s="420"/>
      <c r="FH1260" s="420"/>
      <c r="FI1260" s="420"/>
      <c r="FJ1260" s="420"/>
      <c r="FK1260" s="420"/>
      <c r="FL1260" s="420"/>
      <c r="FM1260" s="420"/>
      <c r="FN1260" s="420"/>
      <c r="FO1260" s="420"/>
      <c r="FP1260" s="420"/>
      <c r="FQ1260" s="420"/>
      <c r="FR1260" s="420"/>
      <c r="FS1260" s="420"/>
      <c r="FT1260" s="420"/>
      <c r="FU1260" s="420"/>
      <c r="FV1260" s="420"/>
      <c r="FW1260" s="420"/>
      <c r="FX1260" s="420"/>
      <c r="FY1260" s="420"/>
      <c r="IV1260" s="420"/>
    </row>
    <row r="1261" spans="1:181" s="421" customFormat="1" ht="15.75" customHeight="1">
      <c r="A1261" s="918"/>
      <c r="B1261" s="927"/>
      <c r="C1261" s="920"/>
      <c r="D1261" s="921"/>
      <c r="E1261" s="922"/>
      <c r="F1261" s="923"/>
      <c r="G1261" s="420"/>
      <c r="H1261" s="420"/>
      <c r="I1261" s="420"/>
      <c r="J1261" s="420"/>
      <c r="K1261" s="420"/>
      <c r="L1261" s="420"/>
      <c r="M1261" s="420"/>
      <c r="N1261" s="646"/>
      <c r="O1261" s="646"/>
      <c r="P1261" s="420"/>
      <c r="Q1261" s="420"/>
      <c r="R1261" s="420"/>
      <c r="S1261" s="420"/>
      <c r="T1261" s="420"/>
      <c r="U1261" s="420"/>
      <c r="V1261" s="420"/>
      <c r="W1261" s="420"/>
      <c r="X1261" s="420"/>
      <c r="Y1261" s="420"/>
      <c r="Z1261" s="420"/>
      <c r="AA1261" s="420"/>
      <c r="AB1261" s="420"/>
      <c r="AC1261" s="420"/>
      <c r="AD1261" s="420"/>
      <c r="AE1261" s="420"/>
      <c r="AF1261" s="420"/>
      <c r="AG1261" s="420"/>
      <c r="AH1261" s="420"/>
      <c r="AI1261" s="420"/>
      <c r="AJ1261" s="420"/>
      <c r="AK1261" s="420"/>
      <c r="AL1261" s="420"/>
      <c r="AM1261" s="420"/>
      <c r="AN1261" s="420"/>
      <c r="AO1261" s="420"/>
      <c r="AP1261" s="420"/>
      <c r="AQ1261" s="420"/>
      <c r="AR1261" s="420"/>
      <c r="AS1261" s="420"/>
      <c r="AT1261" s="420"/>
      <c r="AU1261" s="420"/>
      <c r="AV1261" s="420"/>
      <c r="AW1261" s="420"/>
      <c r="AX1261" s="420"/>
      <c r="AY1261" s="420"/>
      <c r="AZ1261" s="420"/>
      <c r="BA1261" s="420"/>
      <c r="BB1261" s="420"/>
      <c r="BC1261" s="420"/>
      <c r="BD1261" s="420"/>
      <c r="BE1261" s="420"/>
      <c r="BF1261" s="420"/>
      <c r="BG1261" s="420"/>
      <c r="BH1261" s="420"/>
      <c r="BI1261" s="420"/>
      <c r="BJ1261" s="420"/>
      <c r="BK1261" s="420"/>
      <c r="BL1261" s="420"/>
      <c r="BM1261" s="420"/>
      <c r="BN1261" s="420"/>
      <c r="BO1261" s="420"/>
      <c r="BP1261" s="420"/>
      <c r="BQ1261" s="420"/>
      <c r="BR1261" s="420"/>
      <c r="BS1261" s="420"/>
      <c r="BT1261" s="420"/>
      <c r="BU1261" s="420"/>
      <c r="BV1261" s="420"/>
      <c r="BW1261" s="420"/>
      <c r="BX1261" s="420"/>
      <c r="BY1261" s="420"/>
      <c r="BZ1261" s="420"/>
      <c r="CA1261" s="420"/>
      <c r="CB1261" s="420"/>
      <c r="CC1261" s="420"/>
      <c r="CD1261" s="420"/>
      <c r="CE1261" s="420"/>
      <c r="CF1261" s="420"/>
      <c r="CG1261" s="420"/>
      <c r="CH1261" s="420"/>
      <c r="CI1261" s="420"/>
      <c r="CJ1261" s="420"/>
      <c r="CK1261" s="420"/>
      <c r="CL1261" s="420"/>
      <c r="CM1261" s="420"/>
      <c r="CN1261" s="420"/>
      <c r="CO1261" s="420"/>
      <c r="CP1261" s="420"/>
      <c r="CQ1261" s="420"/>
      <c r="CR1261" s="420"/>
      <c r="CS1261" s="420"/>
      <c r="CT1261" s="420"/>
      <c r="CU1261" s="420"/>
      <c r="CV1261" s="420"/>
      <c r="CW1261" s="420"/>
      <c r="CX1261" s="420"/>
      <c r="CY1261" s="420"/>
      <c r="CZ1261" s="420"/>
      <c r="DA1261" s="420"/>
      <c r="DB1261" s="420"/>
      <c r="DC1261" s="420"/>
      <c r="DD1261" s="420"/>
      <c r="DE1261" s="420"/>
      <c r="DF1261" s="420"/>
      <c r="DG1261" s="420"/>
      <c r="DH1261" s="420"/>
      <c r="DI1261" s="420"/>
      <c r="DJ1261" s="420"/>
      <c r="DK1261" s="420"/>
      <c r="DL1261" s="420"/>
      <c r="DM1261" s="420"/>
      <c r="DN1261" s="420"/>
      <c r="DO1261" s="420"/>
      <c r="DP1261" s="420"/>
      <c r="DQ1261" s="420"/>
      <c r="DR1261" s="420"/>
      <c r="DS1261" s="420"/>
      <c r="DT1261" s="420"/>
      <c r="DU1261" s="420"/>
      <c r="DV1261" s="420"/>
      <c r="DW1261" s="420"/>
      <c r="DX1261" s="420"/>
      <c r="DY1261" s="420"/>
      <c r="DZ1261" s="420"/>
      <c r="EA1261" s="420"/>
      <c r="EB1261" s="420"/>
      <c r="EC1261" s="420"/>
      <c r="ED1261" s="420"/>
      <c r="EE1261" s="420"/>
      <c r="EF1261" s="420"/>
      <c r="EG1261" s="420"/>
      <c r="EH1261" s="420"/>
      <c r="EI1261" s="420"/>
      <c r="EJ1261" s="420"/>
      <c r="EK1261" s="420"/>
      <c r="EL1261" s="420"/>
      <c r="EM1261" s="420"/>
      <c r="EN1261" s="420"/>
      <c r="EO1261" s="420"/>
      <c r="EP1261" s="420"/>
      <c r="EQ1261" s="420"/>
      <c r="ER1261" s="420"/>
      <c r="ES1261" s="420"/>
      <c r="ET1261" s="420"/>
      <c r="EU1261" s="420"/>
      <c r="EV1261" s="420"/>
      <c r="EW1261" s="420"/>
      <c r="EX1261" s="420"/>
      <c r="EY1261" s="420"/>
      <c r="EZ1261" s="420"/>
      <c r="FA1261" s="420"/>
      <c r="FB1261" s="420"/>
      <c r="FC1261" s="420"/>
      <c r="FD1261" s="420"/>
      <c r="FE1261" s="420"/>
      <c r="FF1261" s="420"/>
      <c r="FG1261" s="420"/>
      <c r="FH1261" s="420"/>
      <c r="FI1261" s="420"/>
      <c r="FJ1261" s="420"/>
      <c r="FK1261" s="420"/>
      <c r="FL1261" s="420"/>
      <c r="FM1261" s="420"/>
      <c r="FN1261" s="420"/>
      <c r="FO1261" s="420"/>
      <c r="FP1261" s="420"/>
      <c r="FQ1261" s="420"/>
      <c r="FR1261" s="420"/>
      <c r="FS1261" s="420"/>
      <c r="FT1261" s="420"/>
      <c r="FU1261" s="420"/>
      <c r="FV1261" s="420"/>
      <c r="FW1261" s="420"/>
      <c r="FX1261" s="420"/>
      <c r="FY1261" s="420"/>
    </row>
    <row r="1262" spans="1:181" s="421" customFormat="1" ht="15.75" customHeight="1">
      <c r="A1262" s="943" t="s">
        <v>732</v>
      </c>
      <c r="B1262" s="944" t="s">
        <v>53</v>
      </c>
      <c r="C1262" s="945"/>
      <c r="D1262" s="946"/>
      <c r="E1262" s="946"/>
      <c r="F1262" s="946">
        <f>SUM(F1256:F1261)</f>
        <v>0</v>
      </c>
      <c r="G1262" s="947"/>
      <c r="H1262" s="947"/>
      <c r="I1262" s="947"/>
      <c r="J1262" s="947"/>
      <c r="K1262" s="947"/>
      <c r="L1262" s="947"/>
      <c r="M1262" s="947"/>
      <c r="N1262" s="948"/>
      <c r="O1262" s="946">
        <f>SUM(O1256:O1261)</f>
        <v>0</v>
      </c>
      <c r="P1262" s="420"/>
      <c r="Q1262" s="420"/>
      <c r="R1262" s="420"/>
      <c r="S1262" s="420"/>
      <c r="T1262" s="420"/>
      <c r="U1262" s="420"/>
      <c r="V1262" s="420"/>
      <c r="W1262" s="420"/>
      <c r="X1262" s="420"/>
      <c r="Y1262" s="420"/>
      <c r="Z1262" s="420"/>
      <c r="AA1262" s="420"/>
      <c r="AB1262" s="420"/>
      <c r="AC1262" s="420"/>
      <c r="AD1262" s="420"/>
      <c r="AE1262" s="420"/>
      <c r="AF1262" s="420"/>
      <c r="AG1262" s="420"/>
      <c r="AH1262" s="420"/>
      <c r="AI1262" s="420"/>
      <c r="AJ1262" s="420"/>
      <c r="AK1262" s="420"/>
      <c r="AL1262" s="420"/>
      <c r="AM1262" s="420"/>
      <c r="AN1262" s="420"/>
      <c r="AO1262" s="420"/>
      <c r="AP1262" s="420"/>
      <c r="AQ1262" s="420"/>
      <c r="AR1262" s="420"/>
      <c r="AS1262" s="420"/>
      <c r="AT1262" s="420"/>
      <c r="AU1262" s="420"/>
      <c r="AV1262" s="420"/>
      <c r="AW1262" s="420"/>
      <c r="AX1262" s="420"/>
      <c r="AY1262" s="420"/>
      <c r="AZ1262" s="420"/>
      <c r="BA1262" s="420"/>
      <c r="BB1262" s="420"/>
      <c r="BC1262" s="420"/>
      <c r="BD1262" s="420"/>
      <c r="BE1262" s="420"/>
      <c r="BF1262" s="420"/>
      <c r="BG1262" s="420"/>
      <c r="BH1262" s="420"/>
      <c r="BI1262" s="420"/>
      <c r="BJ1262" s="420"/>
      <c r="BK1262" s="420"/>
      <c r="BL1262" s="420"/>
      <c r="BM1262" s="420"/>
      <c r="BN1262" s="420"/>
      <c r="BO1262" s="420"/>
      <c r="BP1262" s="420"/>
      <c r="BQ1262" s="420"/>
      <c r="BR1262" s="420"/>
      <c r="BS1262" s="420"/>
      <c r="BT1262" s="420"/>
      <c r="BU1262" s="420"/>
      <c r="BV1262" s="420"/>
      <c r="BW1262" s="420"/>
      <c r="BX1262" s="420"/>
      <c r="BY1262" s="420"/>
      <c r="BZ1262" s="420"/>
      <c r="CA1262" s="420"/>
      <c r="CB1262" s="420"/>
      <c r="CC1262" s="420"/>
      <c r="CD1262" s="420"/>
      <c r="CE1262" s="420"/>
      <c r="CF1262" s="420"/>
      <c r="CG1262" s="420"/>
      <c r="CH1262" s="420"/>
      <c r="CI1262" s="420"/>
      <c r="CJ1262" s="420"/>
      <c r="CK1262" s="420"/>
      <c r="CL1262" s="420"/>
      <c r="CM1262" s="420"/>
      <c r="CN1262" s="420"/>
      <c r="CO1262" s="420"/>
      <c r="CP1262" s="420"/>
      <c r="CQ1262" s="420"/>
      <c r="CR1262" s="420"/>
      <c r="CS1262" s="420"/>
      <c r="CT1262" s="420"/>
      <c r="CU1262" s="420"/>
      <c r="CV1262" s="420"/>
      <c r="CW1262" s="420"/>
      <c r="CX1262" s="420"/>
      <c r="CY1262" s="420"/>
      <c r="CZ1262" s="420"/>
      <c r="DA1262" s="420"/>
      <c r="DB1262" s="420"/>
      <c r="DC1262" s="420"/>
      <c r="DD1262" s="420"/>
      <c r="DE1262" s="420"/>
      <c r="DF1262" s="420"/>
      <c r="DG1262" s="420"/>
      <c r="DH1262" s="420"/>
      <c r="DI1262" s="420"/>
      <c r="DJ1262" s="420"/>
      <c r="DK1262" s="420"/>
      <c r="DL1262" s="420"/>
      <c r="DM1262" s="420"/>
      <c r="DN1262" s="420"/>
      <c r="DO1262" s="420"/>
      <c r="DP1262" s="420"/>
      <c r="DQ1262" s="420"/>
      <c r="DR1262" s="420"/>
      <c r="DS1262" s="420"/>
      <c r="DT1262" s="420"/>
      <c r="DU1262" s="420"/>
      <c r="DV1262" s="420"/>
      <c r="DW1262" s="420"/>
      <c r="DX1262" s="420"/>
      <c r="DY1262" s="420"/>
      <c r="DZ1262" s="420"/>
      <c r="EA1262" s="420"/>
      <c r="EB1262" s="420"/>
      <c r="EC1262" s="420"/>
      <c r="ED1262" s="420"/>
      <c r="EE1262" s="420"/>
      <c r="EF1262" s="420"/>
      <c r="EG1262" s="420"/>
      <c r="EH1262" s="420"/>
      <c r="EI1262" s="420"/>
      <c r="EJ1262" s="420"/>
      <c r="EK1262" s="420"/>
      <c r="EL1262" s="420"/>
      <c r="EM1262" s="420"/>
      <c r="EN1262" s="420"/>
      <c r="EO1262" s="420"/>
      <c r="EP1262" s="420"/>
      <c r="EQ1262" s="420"/>
      <c r="ER1262" s="420"/>
      <c r="ES1262" s="420"/>
      <c r="ET1262" s="420"/>
      <c r="EU1262" s="420"/>
      <c r="EV1262" s="420"/>
      <c r="EW1262" s="420"/>
      <c r="EX1262" s="420"/>
      <c r="EY1262" s="420"/>
      <c r="EZ1262" s="420"/>
      <c r="FA1262" s="420"/>
      <c r="FB1262" s="420"/>
      <c r="FC1262" s="420"/>
      <c r="FD1262" s="420"/>
      <c r="FE1262" s="420"/>
      <c r="FF1262" s="420"/>
      <c r="FG1262" s="420"/>
      <c r="FH1262" s="420"/>
      <c r="FI1262" s="420"/>
      <c r="FJ1262" s="420"/>
      <c r="FK1262" s="420"/>
      <c r="FL1262" s="420"/>
      <c r="FM1262" s="420"/>
      <c r="FN1262" s="420"/>
      <c r="FO1262" s="420"/>
      <c r="FP1262" s="420"/>
      <c r="FQ1262" s="420"/>
      <c r="FR1262" s="420"/>
      <c r="FS1262" s="420"/>
      <c r="FT1262" s="420"/>
      <c r="FU1262" s="420"/>
      <c r="FV1262" s="420"/>
      <c r="FW1262" s="420"/>
      <c r="FX1262" s="420"/>
      <c r="FY1262" s="420"/>
    </row>
    <row r="1263" spans="1:181" s="421" customFormat="1" ht="15.75" customHeight="1">
      <c r="A1263" s="427"/>
      <c r="B1263" s="428"/>
      <c r="C1263" s="429"/>
      <c r="D1263" s="430"/>
      <c r="E1263" s="430"/>
      <c r="F1263" s="430"/>
      <c r="G1263" s="420"/>
      <c r="H1263" s="420"/>
      <c r="I1263" s="420"/>
      <c r="J1263" s="420"/>
      <c r="K1263" s="420"/>
      <c r="L1263" s="420"/>
      <c r="M1263" s="420"/>
      <c r="N1263" s="646"/>
      <c r="O1263" s="646"/>
      <c r="P1263" s="420"/>
      <c r="Q1263" s="420"/>
      <c r="R1263" s="420"/>
      <c r="S1263" s="420"/>
      <c r="T1263" s="420"/>
      <c r="U1263" s="420"/>
      <c r="V1263" s="420"/>
      <c r="W1263" s="420"/>
      <c r="X1263" s="420"/>
      <c r="Y1263" s="420"/>
      <c r="Z1263" s="420"/>
      <c r="AA1263" s="420"/>
      <c r="AB1263" s="420"/>
      <c r="AC1263" s="420"/>
      <c r="AD1263" s="420"/>
      <c r="AE1263" s="420"/>
      <c r="AF1263" s="420"/>
      <c r="AG1263" s="420"/>
      <c r="AH1263" s="420"/>
      <c r="AI1263" s="420"/>
      <c r="AJ1263" s="420"/>
      <c r="AK1263" s="420"/>
      <c r="AL1263" s="420"/>
      <c r="AM1263" s="420"/>
      <c r="AN1263" s="420"/>
      <c r="AO1263" s="420"/>
      <c r="AP1263" s="420"/>
      <c r="AQ1263" s="420"/>
      <c r="AR1263" s="420"/>
      <c r="AS1263" s="420"/>
      <c r="AT1263" s="420"/>
      <c r="AU1263" s="420"/>
      <c r="AV1263" s="420"/>
      <c r="AW1263" s="420"/>
      <c r="AX1263" s="420"/>
      <c r="AY1263" s="420"/>
      <c r="AZ1263" s="420"/>
      <c r="BA1263" s="420"/>
      <c r="BB1263" s="420"/>
      <c r="BC1263" s="420"/>
      <c r="BD1263" s="420"/>
      <c r="BE1263" s="420"/>
      <c r="BF1263" s="420"/>
      <c r="BG1263" s="420"/>
      <c r="BH1263" s="420"/>
      <c r="BI1263" s="420"/>
      <c r="BJ1263" s="420"/>
      <c r="BK1263" s="420"/>
      <c r="BL1263" s="420"/>
      <c r="BM1263" s="420"/>
      <c r="BN1263" s="420"/>
      <c r="BO1263" s="420"/>
      <c r="BP1263" s="420"/>
      <c r="BQ1263" s="420"/>
      <c r="BR1263" s="420"/>
      <c r="BS1263" s="420"/>
      <c r="BT1263" s="420"/>
      <c r="BU1263" s="420"/>
      <c r="BV1263" s="420"/>
      <c r="BW1263" s="420"/>
      <c r="BX1263" s="420"/>
      <c r="BY1263" s="420"/>
      <c r="BZ1263" s="420"/>
      <c r="CA1263" s="420"/>
      <c r="CB1263" s="420"/>
      <c r="CC1263" s="420"/>
      <c r="CD1263" s="420"/>
      <c r="CE1263" s="420"/>
      <c r="CF1263" s="420"/>
      <c r="CG1263" s="420"/>
      <c r="CH1263" s="420"/>
      <c r="CI1263" s="420"/>
      <c r="CJ1263" s="420"/>
      <c r="CK1263" s="420"/>
      <c r="CL1263" s="420"/>
      <c r="CM1263" s="420"/>
      <c r="CN1263" s="420"/>
      <c r="CO1263" s="420"/>
      <c r="CP1263" s="420"/>
      <c r="CQ1263" s="420"/>
      <c r="CR1263" s="420"/>
      <c r="CS1263" s="420"/>
      <c r="CT1263" s="420"/>
      <c r="CU1263" s="420"/>
      <c r="CV1263" s="420"/>
      <c r="CW1263" s="420"/>
      <c r="CX1263" s="420"/>
      <c r="CY1263" s="420"/>
      <c r="CZ1263" s="420"/>
      <c r="DA1263" s="420"/>
      <c r="DB1263" s="420"/>
      <c r="DC1263" s="420"/>
      <c r="DD1263" s="420"/>
      <c r="DE1263" s="420"/>
      <c r="DF1263" s="420"/>
      <c r="DG1263" s="420"/>
      <c r="DH1263" s="420"/>
      <c r="DI1263" s="420"/>
      <c r="DJ1263" s="420"/>
      <c r="DK1263" s="420"/>
      <c r="DL1263" s="420"/>
      <c r="DM1263" s="420"/>
      <c r="DN1263" s="420"/>
      <c r="DO1263" s="420"/>
      <c r="DP1263" s="420"/>
      <c r="DQ1263" s="420"/>
      <c r="DR1263" s="420"/>
      <c r="DS1263" s="420"/>
      <c r="DT1263" s="420"/>
      <c r="DU1263" s="420"/>
      <c r="DV1263" s="420"/>
      <c r="DW1263" s="420"/>
      <c r="DX1263" s="420"/>
      <c r="DY1263" s="420"/>
      <c r="DZ1263" s="420"/>
      <c r="EA1263" s="420"/>
      <c r="EB1263" s="420"/>
      <c r="EC1263" s="420"/>
      <c r="ED1263" s="420"/>
      <c r="EE1263" s="420"/>
      <c r="EF1263" s="420"/>
      <c r="EG1263" s="420"/>
      <c r="EH1263" s="420"/>
      <c r="EI1263" s="420"/>
      <c r="EJ1263" s="420"/>
      <c r="EK1263" s="420"/>
      <c r="EL1263" s="420"/>
      <c r="EM1263" s="420"/>
      <c r="EN1263" s="420"/>
      <c r="EO1263" s="420"/>
      <c r="EP1263" s="420"/>
      <c r="EQ1263" s="420"/>
      <c r="ER1263" s="420"/>
      <c r="ES1263" s="420"/>
      <c r="ET1263" s="420"/>
      <c r="EU1263" s="420"/>
      <c r="EV1263" s="420"/>
      <c r="EW1263" s="420"/>
      <c r="EX1263" s="420"/>
      <c r="EY1263" s="420"/>
      <c r="EZ1263" s="420"/>
      <c r="FA1263" s="420"/>
      <c r="FB1263" s="420"/>
      <c r="FC1263" s="420"/>
      <c r="FD1263" s="420"/>
      <c r="FE1263" s="420"/>
      <c r="FF1263" s="420"/>
      <c r="FG1263" s="420"/>
      <c r="FH1263" s="420"/>
      <c r="FI1263" s="420"/>
      <c r="FJ1263" s="420"/>
      <c r="FK1263" s="420"/>
      <c r="FL1263" s="420"/>
      <c r="FM1263" s="420"/>
      <c r="FN1263" s="420"/>
      <c r="FO1263" s="420"/>
      <c r="FP1263" s="420"/>
      <c r="FQ1263" s="420"/>
      <c r="FR1263" s="420"/>
      <c r="FS1263" s="420"/>
      <c r="FT1263" s="420"/>
      <c r="FU1263" s="420"/>
      <c r="FV1263" s="420"/>
      <c r="FW1263" s="420"/>
      <c r="FX1263" s="420"/>
      <c r="FY1263" s="420"/>
    </row>
    <row r="1264" spans="1:181" s="421" customFormat="1" ht="12.75">
      <c r="A1264" s="418" t="s">
        <v>733</v>
      </c>
      <c r="B1264" s="419" t="s">
        <v>902</v>
      </c>
      <c r="C1264" s="1240"/>
      <c r="D1264" s="1240"/>
      <c r="E1264" s="1240"/>
      <c r="F1264" s="1240"/>
      <c r="G1264" s="420"/>
      <c r="H1264" s="420"/>
      <c r="I1264" s="420"/>
      <c r="J1264" s="420"/>
      <c r="K1264" s="420"/>
      <c r="L1264" s="420"/>
      <c r="M1264" s="420"/>
      <c r="N1264" s="646"/>
      <c r="O1264" s="646"/>
      <c r="P1264" s="420"/>
      <c r="Q1264" s="420"/>
      <c r="R1264" s="420"/>
      <c r="S1264" s="420"/>
      <c r="T1264" s="420"/>
      <c r="U1264" s="420"/>
      <c r="V1264" s="420"/>
      <c r="W1264" s="420"/>
      <c r="X1264" s="420"/>
      <c r="Y1264" s="420"/>
      <c r="Z1264" s="420"/>
      <c r="AA1264" s="420"/>
      <c r="AB1264" s="420"/>
      <c r="AC1264" s="420"/>
      <c r="AD1264" s="420"/>
      <c r="AE1264" s="420"/>
      <c r="AF1264" s="420"/>
      <c r="AG1264" s="420"/>
      <c r="AH1264" s="420"/>
      <c r="AI1264" s="420"/>
      <c r="AJ1264" s="420"/>
      <c r="AK1264" s="420"/>
      <c r="AL1264" s="420"/>
      <c r="AM1264" s="420"/>
      <c r="AN1264" s="420"/>
      <c r="AO1264" s="420"/>
      <c r="AP1264" s="420"/>
      <c r="AQ1264" s="420"/>
      <c r="AR1264" s="420"/>
      <c r="AS1264" s="420"/>
      <c r="AT1264" s="420"/>
      <c r="AU1264" s="420"/>
      <c r="AV1264" s="420"/>
      <c r="AW1264" s="420"/>
      <c r="AX1264" s="420"/>
      <c r="AY1264" s="420"/>
      <c r="AZ1264" s="420"/>
      <c r="BA1264" s="420"/>
      <c r="BB1264" s="420"/>
      <c r="BC1264" s="420"/>
      <c r="BD1264" s="420"/>
      <c r="BE1264" s="420"/>
      <c r="BF1264" s="420"/>
      <c r="BG1264" s="420"/>
      <c r="BH1264" s="420"/>
      <c r="BI1264" s="420"/>
      <c r="BJ1264" s="420"/>
      <c r="BK1264" s="420"/>
      <c r="BL1264" s="420"/>
      <c r="BM1264" s="420"/>
      <c r="BN1264" s="420"/>
      <c r="BO1264" s="420"/>
      <c r="BP1264" s="420"/>
      <c r="BQ1264" s="420"/>
      <c r="BR1264" s="420"/>
      <c r="BS1264" s="420"/>
      <c r="BT1264" s="420"/>
      <c r="BU1264" s="420"/>
      <c r="BV1264" s="420"/>
      <c r="BW1264" s="420"/>
      <c r="BX1264" s="420"/>
      <c r="BY1264" s="420"/>
      <c r="BZ1264" s="420"/>
      <c r="CA1264" s="420"/>
      <c r="CB1264" s="420"/>
      <c r="CC1264" s="420"/>
      <c r="CD1264" s="420"/>
      <c r="CE1264" s="420"/>
      <c r="CF1264" s="420"/>
      <c r="CG1264" s="420"/>
      <c r="CH1264" s="420"/>
      <c r="CI1264" s="420"/>
      <c r="CJ1264" s="420"/>
      <c r="CK1264" s="420"/>
      <c r="CL1264" s="420"/>
      <c r="CM1264" s="420"/>
      <c r="CN1264" s="420"/>
      <c r="CO1264" s="420"/>
      <c r="CP1264" s="420"/>
      <c r="CQ1264" s="420"/>
      <c r="CR1264" s="420"/>
      <c r="CS1264" s="420"/>
      <c r="CT1264" s="420"/>
      <c r="CU1264" s="420"/>
      <c r="CV1264" s="420"/>
      <c r="CW1264" s="420"/>
      <c r="CX1264" s="420"/>
      <c r="CY1264" s="420"/>
      <c r="CZ1264" s="420"/>
      <c r="DA1264" s="420"/>
      <c r="DB1264" s="420"/>
      <c r="DC1264" s="420"/>
      <c r="DD1264" s="420"/>
      <c r="DE1264" s="420"/>
      <c r="DF1264" s="420"/>
      <c r="DG1264" s="420"/>
      <c r="DH1264" s="420"/>
      <c r="DI1264" s="420"/>
      <c r="DJ1264" s="420"/>
      <c r="DK1264" s="420"/>
      <c r="DL1264" s="420"/>
      <c r="DM1264" s="420"/>
      <c r="DN1264" s="420"/>
      <c r="DO1264" s="420"/>
      <c r="DP1264" s="420"/>
      <c r="DQ1264" s="420"/>
      <c r="DR1264" s="420"/>
      <c r="DS1264" s="420"/>
      <c r="DT1264" s="420"/>
      <c r="DU1264" s="420"/>
      <c r="DV1264" s="420"/>
      <c r="DW1264" s="420"/>
      <c r="DX1264" s="420"/>
      <c r="DY1264" s="420"/>
      <c r="DZ1264" s="420"/>
      <c r="EA1264" s="420"/>
      <c r="EB1264" s="420"/>
      <c r="EC1264" s="420"/>
      <c r="ED1264" s="420"/>
      <c r="EE1264" s="420"/>
      <c r="EF1264" s="420"/>
      <c r="EG1264" s="420"/>
      <c r="EH1264" s="420"/>
      <c r="EI1264" s="420"/>
      <c r="EJ1264" s="420"/>
      <c r="EK1264" s="420"/>
      <c r="EL1264" s="420"/>
      <c r="EM1264" s="420"/>
      <c r="EN1264" s="420"/>
      <c r="EO1264" s="420"/>
      <c r="EP1264" s="420"/>
      <c r="EQ1264" s="420"/>
      <c r="ER1264" s="420"/>
      <c r="ES1264" s="420"/>
      <c r="ET1264" s="420"/>
      <c r="EU1264" s="420"/>
      <c r="EV1264" s="420"/>
      <c r="EW1264" s="420"/>
      <c r="EX1264" s="420"/>
      <c r="EY1264" s="420"/>
      <c r="EZ1264" s="420"/>
      <c r="FA1264" s="420"/>
      <c r="FB1264" s="420"/>
      <c r="FC1264" s="420"/>
      <c r="FD1264" s="420"/>
      <c r="FE1264" s="420"/>
      <c r="FF1264" s="420"/>
      <c r="FG1264" s="420"/>
      <c r="FH1264" s="420"/>
      <c r="FI1264" s="420"/>
      <c r="FJ1264" s="420"/>
      <c r="FK1264" s="420"/>
      <c r="FL1264" s="420"/>
      <c r="FM1264" s="420"/>
      <c r="FN1264" s="420"/>
      <c r="FO1264" s="420"/>
      <c r="FP1264" s="420"/>
      <c r="FQ1264" s="420"/>
      <c r="FR1264" s="420"/>
      <c r="FS1264" s="420"/>
      <c r="FT1264" s="420"/>
      <c r="FU1264" s="420"/>
      <c r="FV1264" s="420"/>
      <c r="FW1264" s="420"/>
      <c r="FX1264" s="420"/>
      <c r="FY1264" s="420"/>
    </row>
    <row r="1265" spans="1:181" s="421" customFormat="1" ht="25.5">
      <c r="A1265" s="949" t="s">
        <v>38</v>
      </c>
      <c r="B1265" s="950" t="s">
        <v>39</v>
      </c>
      <c r="C1265" s="951" t="s">
        <v>40</v>
      </c>
      <c r="D1265" s="951" t="s">
        <v>41</v>
      </c>
      <c r="E1265" s="952" t="s">
        <v>1261</v>
      </c>
      <c r="F1265" s="952" t="s">
        <v>1262</v>
      </c>
      <c r="G1265" s="600"/>
      <c r="H1265" s="601"/>
      <c r="I1265" s="601"/>
      <c r="J1265" s="146"/>
      <c r="K1265" s="146"/>
      <c r="L1265" s="601"/>
      <c r="M1265" s="146"/>
      <c r="N1265" s="631" t="s">
        <v>1264</v>
      </c>
      <c r="O1265" s="631" t="s">
        <v>1263</v>
      </c>
      <c r="P1265" s="420"/>
      <c r="Q1265" s="420"/>
      <c r="R1265" s="420"/>
      <c r="S1265" s="420"/>
      <c r="T1265" s="420"/>
      <c r="U1265" s="420"/>
      <c r="V1265" s="420"/>
      <c r="W1265" s="420"/>
      <c r="X1265" s="420"/>
      <c r="Y1265" s="420"/>
      <c r="Z1265" s="420"/>
      <c r="AA1265" s="420"/>
      <c r="AB1265" s="420"/>
      <c r="AC1265" s="420"/>
      <c r="AD1265" s="420"/>
      <c r="AE1265" s="420"/>
      <c r="AF1265" s="420"/>
      <c r="AG1265" s="420"/>
      <c r="AH1265" s="420"/>
      <c r="AI1265" s="420"/>
      <c r="AJ1265" s="420"/>
      <c r="AK1265" s="420"/>
      <c r="AL1265" s="420"/>
      <c r="AM1265" s="420"/>
      <c r="AN1265" s="420"/>
      <c r="AO1265" s="420"/>
      <c r="AP1265" s="420"/>
      <c r="AQ1265" s="420"/>
      <c r="AR1265" s="420"/>
      <c r="AS1265" s="420"/>
      <c r="AT1265" s="420"/>
      <c r="AU1265" s="420"/>
      <c r="AV1265" s="420"/>
      <c r="AW1265" s="420"/>
      <c r="AX1265" s="420"/>
      <c r="AY1265" s="420"/>
      <c r="AZ1265" s="420"/>
      <c r="BA1265" s="420"/>
      <c r="BB1265" s="420"/>
      <c r="BC1265" s="420"/>
      <c r="BD1265" s="420"/>
      <c r="BE1265" s="420"/>
      <c r="BF1265" s="420"/>
      <c r="BG1265" s="420"/>
      <c r="BH1265" s="420"/>
      <c r="BI1265" s="420"/>
      <c r="BJ1265" s="420"/>
      <c r="BK1265" s="420"/>
      <c r="BL1265" s="420"/>
      <c r="BM1265" s="420"/>
      <c r="BN1265" s="420"/>
      <c r="BO1265" s="420"/>
      <c r="BP1265" s="420"/>
      <c r="BQ1265" s="420"/>
      <c r="BR1265" s="420"/>
      <c r="BS1265" s="420"/>
      <c r="BT1265" s="420"/>
      <c r="BU1265" s="420"/>
      <c r="BV1265" s="420"/>
      <c r="BW1265" s="420"/>
      <c r="BX1265" s="420"/>
      <c r="BY1265" s="420"/>
      <c r="BZ1265" s="420"/>
      <c r="CA1265" s="420"/>
      <c r="CB1265" s="420"/>
      <c r="CC1265" s="420"/>
      <c r="CD1265" s="420"/>
      <c r="CE1265" s="420"/>
      <c r="CF1265" s="420"/>
      <c r="CG1265" s="420"/>
      <c r="CH1265" s="420"/>
      <c r="CI1265" s="420"/>
      <c r="CJ1265" s="420"/>
      <c r="CK1265" s="420"/>
      <c r="CL1265" s="420"/>
      <c r="CM1265" s="420"/>
      <c r="CN1265" s="420"/>
      <c r="CO1265" s="420"/>
      <c r="CP1265" s="420"/>
      <c r="CQ1265" s="420"/>
      <c r="CR1265" s="420"/>
      <c r="CS1265" s="420"/>
      <c r="CT1265" s="420"/>
      <c r="CU1265" s="420"/>
      <c r="CV1265" s="420"/>
      <c r="CW1265" s="420"/>
      <c r="CX1265" s="420"/>
      <c r="CY1265" s="420"/>
      <c r="CZ1265" s="420"/>
      <c r="DA1265" s="420"/>
      <c r="DB1265" s="420"/>
      <c r="DC1265" s="420"/>
      <c r="DD1265" s="420"/>
      <c r="DE1265" s="420"/>
      <c r="DF1265" s="420"/>
      <c r="DG1265" s="420"/>
      <c r="DH1265" s="420"/>
      <c r="DI1265" s="420"/>
      <c r="DJ1265" s="420"/>
      <c r="DK1265" s="420"/>
      <c r="DL1265" s="420"/>
      <c r="DM1265" s="420"/>
      <c r="DN1265" s="420"/>
      <c r="DO1265" s="420"/>
      <c r="DP1265" s="420"/>
      <c r="DQ1265" s="420"/>
      <c r="DR1265" s="420"/>
      <c r="DS1265" s="420"/>
      <c r="DT1265" s="420"/>
      <c r="DU1265" s="420"/>
      <c r="DV1265" s="420"/>
      <c r="DW1265" s="420"/>
      <c r="DX1265" s="420"/>
      <c r="DY1265" s="420"/>
      <c r="DZ1265" s="420"/>
      <c r="EA1265" s="420"/>
      <c r="EB1265" s="420"/>
      <c r="EC1265" s="420"/>
      <c r="ED1265" s="420"/>
      <c r="EE1265" s="420"/>
      <c r="EF1265" s="420"/>
      <c r="EG1265" s="420"/>
      <c r="EH1265" s="420"/>
      <c r="EI1265" s="420"/>
      <c r="EJ1265" s="420"/>
      <c r="EK1265" s="420"/>
      <c r="EL1265" s="420"/>
      <c r="EM1265" s="420"/>
      <c r="EN1265" s="420"/>
      <c r="EO1265" s="420"/>
      <c r="EP1265" s="420"/>
      <c r="EQ1265" s="420"/>
      <c r="ER1265" s="420"/>
      <c r="ES1265" s="420"/>
      <c r="ET1265" s="420"/>
      <c r="EU1265" s="420"/>
      <c r="EV1265" s="420"/>
      <c r="EW1265" s="420"/>
      <c r="EX1265" s="420"/>
      <c r="EY1265" s="420"/>
      <c r="EZ1265" s="420"/>
      <c r="FA1265" s="420"/>
      <c r="FB1265" s="420"/>
      <c r="FC1265" s="420"/>
      <c r="FD1265" s="420"/>
      <c r="FE1265" s="420"/>
      <c r="FF1265" s="420"/>
      <c r="FG1265" s="420"/>
      <c r="FH1265" s="420"/>
      <c r="FI1265" s="420"/>
      <c r="FJ1265" s="420"/>
      <c r="FK1265" s="420"/>
      <c r="FL1265" s="420"/>
      <c r="FM1265" s="420"/>
      <c r="FN1265" s="420"/>
      <c r="FO1265" s="420"/>
      <c r="FP1265" s="420"/>
      <c r="FQ1265" s="420"/>
      <c r="FR1265" s="420"/>
      <c r="FS1265" s="420"/>
      <c r="FT1265" s="420"/>
      <c r="FU1265" s="420"/>
      <c r="FV1265" s="420"/>
      <c r="FW1265" s="420"/>
      <c r="FX1265" s="420"/>
      <c r="FY1265" s="420"/>
    </row>
    <row r="1266" spans="1:181" s="421" customFormat="1" ht="12.75">
      <c r="A1266" s="918"/>
      <c r="B1266" s="919"/>
      <c r="C1266" s="920"/>
      <c r="D1266" s="921"/>
      <c r="E1266" s="922"/>
      <c r="F1266" s="923"/>
      <c r="G1266" s="420"/>
      <c r="H1266" s="420"/>
      <c r="I1266" s="420"/>
      <c r="J1266" s="420"/>
      <c r="K1266" s="420"/>
      <c r="L1266" s="420"/>
      <c r="M1266" s="420"/>
      <c r="N1266" s="646"/>
      <c r="O1266" s="646"/>
      <c r="P1266" s="420"/>
      <c r="Q1266" s="420"/>
      <c r="R1266" s="420"/>
      <c r="S1266" s="420"/>
      <c r="T1266" s="420"/>
      <c r="U1266" s="420"/>
      <c r="V1266" s="420"/>
      <c r="W1266" s="420"/>
      <c r="X1266" s="420"/>
      <c r="Y1266" s="420"/>
      <c r="Z1266" s="420"/>
      <c r="AA1266" s="420"/>
      <c r="AB1266" s="420"/>
      <c r="AC1266" s="420"/>
      <c r="AD1266" s="420"/>
      <c r="AE1266" s="420"/>
      <c r="AF1266" s="420"/>
      <c r="AG1266" s="420"/>
      <c r="AH1266" s="420"/>
      <c r="AI1266" s="420"/>
      <c r="AJ1266" s="420"/>
      <c r="AK1266" s="420"/>
      <c r="AL1266" s="420"/>
      <c r="AM1266" s="420"/>
      <c r="AN1266" s="420"/>
      <c r="AO1266" s="420"/>
      <c r="AP1266" s="420"/>
      <c r="AQ1266" s="420"/>
      <c r="AR1266" s="420"/>
      <c r="AS1266" s="420"/>
      <c r="AT1266" s="420"/>
      <c r="AU1266" s="420"/>
      <c r="AV1266" s="420"/>
      <c r="AW1266" s="420"/>
      <c r="AX1266" s="420"/>
      <c r="AY1266" s="420"/>
      <c r="AZ1266" s="420"/>
      <c r="BA1266" s="420"/>
      <c r="BB1266" s="420"/>
      <c r="BC1266" s="420"/>
      <c r="BD1266" s="420"/>
      <c r="BE1266" s="420"/>
      <c r="BF1266" s="420"/>
      <c r="BG1266" s="420"/>
      <c r="BH1266" s="420"/>
      <c r="BI1266" s="420"/>
      <c r="BJ1266" s="420"/>
      <c r="BK1266" s="420"/>
      <c r="BL1266" s="420"/>
      <c r="BM1266" s="420"/>
      <c r="BN1266" s="420"/>
      <c r="BO1266" s="420"/>
      <c r="BP1266" s="420"/>
      <c r="BQ1266" s="420"/>
      <c r="BR1266" s="420"/>
      <c r="BS1266" s="420"/>
      <c r="BT1266" s="420"/>
      <c r="BU1266" s="420"/>
      <c r="BV1266" s="420"/>
      <c r="BW1266" s="420"/>
      <c r="BX1266" s="420"/>
      <c r="BY1266" s="420"/>
      <c r="BZ1266" s="420"/>
      <c r="CA1266" s="420"/>
      <c r="CB1266" s="420"/>
      <c r="CC1266" s="420"/>
      <c r="CD1266" s="420"/>
      <c r="CE1266" s="420"/>
      <c r="CF1266" s="420"/>
      <c r="CG1266" s="420"/>
      <c r="CH1266" s="420"/>
      <c r="CI1266" s="420"/>
      <c r="CJ1266" s="420"/>
      <c r="CK1266" s="420"/>
      <c r="CL1266" s="420"/>
      <c r="CM1266" s="420"/>
      <c r="CN1266" s="420"/>
      <c r="CO1266" s="420"/>
      <c r="CP1266" s="420"/>
      <c r="CQ1266" s="420"/>
      <c r="CR1266" s="420"/>
      <c r="CS1266" s="420"/>
      <c r="CT1266" s="420"/>
      <c r="CU1266" s="420"/>
      <c r="CV1266" s="420"/>
      <c r="CW1266" s="420"/>
      <c r="CX1266" s="420"/>
      <c r="CY1266" s="420"/>
      <c r="CZ1266" s="420"/>
      <c r="DA1266" s="420"/>
      <c r="DB1266" s="420"/>
      <c r="DC1266" s="420"/>
      <c r="DD1266" s="420"/>
      <c r="DE1266" s="420"/>
      <c r="DF1266" s="420"/>
      <c r="DG1266" s="420"/>
      <c r="DH1266" s="420"/>
      <c r="DI1266" s="420"/>
      <c r="DJ1266" s="420"/>
      <c r="DK1266" s="420"/>
      <c r="DL1266" s="420"/>
      <c r="DM1266" s="420"/>
      <c r="DN1266" s="420"/>
      <c r="DO1266" s="420"/>
      <c r="DP1266" s="420"/>
      <c r="DQ1266" s="420"/>
      <c r="DR1266" s="420"/>
      <c r="DS1266" s="420"/>
      <c r="DT1266" s="420"/>
      <c r="DU1266" s="420"/>
      <c r="DV1266" s="420"/>
      <c r="DW1266" s="420"/>
      <c r="DX1266" s="420"/>
      <c r="DY1266" s="420"/>
      <c r="DZ1266" s="420"/>
      <c r="EA1266" s="420"/>
      <c r="EB1266" s="420"/>
      <c r="EC1266" s="420"/>
      <c r="ED1266" s="420"/>
      <c r="EE1266" s="420"/>
      <c r="EF1266" s="420"/>
      <c r="EG1266" s="420"/>
      <c r="EH1266" s="420"/>
      <c r="EI1266" s="420"/>
      <c r="EJ1266" s="420"/>
      <c r="EK1266" s="420"/>
      <c r="EL1266" s="420"/>
      <c r="EM1266" s="420"/>
      <c r="EN1266" s="420"/>
      <c r="EO1266" s="420"/>
      <c r="EP1266" s="420"/>
      <c r="EQ1266" s="420"/>
      <c r="ER1266" s="420"/>
      <c r="ES1266" s="420"/>
      <c r="ET1266" s="420"/>
      <c r="EU1266" s="420"/>
      <c r="EV1266" s="420"/>
      <c r="EW1266" s="420"/>
      <c r="EX1266" s="420"/>
      <c r="EY1266" s="420"/>
      <c r="EZ1266" s="420"/>
      <c r="FA1266" s="420"/>
      <c r="FB1266" s="420"/>
      <c r="FC1266" s="420"/>
      <c r="FD1266" s="420"/>
      <c r="FE1266" s="420"/>
      <c r="FF1266" s="420"/>
      <c r="FG1266" s="420"/>
      <c r="FH1266" s="420"/>
      <c r="FI1266" s="420"/>
      <c r="FJ1266" s="420"/>
      <c r="FK1266" s="420"/>
      <c r="FL1266" s="420"/>
      <c r="FM1266" s="420"/>
      <c r="FN1266" s="420"/>
      <c r="FO1266" s="420"/>
      <c r="FP1266" s="420"/>
      <c r="FQ1266" s="420"/>
      <c r="FR1266" s="420"/>
      <c r="FS1266" s="420"/>
      <c r="FT1266" s="420"/>
      <c r="FU1266" s="420"/>
      <c r="FV1266" s="420"/>
      <c r="FW1266" s="420"/>
      <c r="FX1266" s="420"/>
      <c r="FY1266" s="420"/>
    </row>
    <row r="1267" spans="1:181" s="421" customFormat="1" ht="66.75" customHeight="1">
      <c r="A1267" s="918"/>
      <c r="B1267" s="1201" t="s">
        <v>903</v>
      </c>
      <c r="C1267" s="1202"/>
      <c r="D1267" s="1202"/>
      <c r="E1267" s="1203"/>
      <c r="F1267" s="1108"/>
      <c r="G1267" s="420"/>
      <c r="H1267" s="420"/>
      <c r="I1267" s="420"/>
      <c r="J1267" s="420"/>
      <c r="K1267" s="420"/>
      <c r="L1267" s="420"/>
      <c r="M1267" s="420"/>
      <c r="N1267" s="646"/>
      <c r="O1267" s="646"/>
      <c r="P1267" s="420"/>
      <c r="Q1267" s="420"/>
      <c r="R1267" s="420"/>
      <c r="S1267" s="420"/>
      <c r="T1267" s="420"/>
      <c r="U1267" s="420"/>
      <c r="V1267" s="420"/>
      <c r="W1267" s="420"/>
      <c r="X1267" s="420"/>
      <c r="Y1267" s="420"/>
      <c r="Z1267" s="420"/>
      <c r="AA1267" s="420"/>
      <c r="AB1267" s="420"/>
      <c r="AC1267" s="420"/>
      <c r="AD1267" s="420"/>
      <c r="AE1267" s="420"/>
      <c r="AF1267" s="420"/>
      <c r="AG1267" s="420"/>
      <c r="AH1267" s="420"/>
      <c r="AI1267" s="420"/>
      <c r="AJ1267" s="420"/>
      <c r="AK1267" s="420"/>
      <c r="AL1267" s="420"/>
      <c r="AM1267" s="420"/>
      <c r="AN1267" s="420"/>
      <c r="AO1267" s="420"/>
      <c r="AP1267" s="420"/>
      <c r="AQ1267" s="420"/>
      <c r="AR1267" s="420"/>
      <c r="AS1267" s="420"/>
      <c r="AT1267" s="420"/>
      <c r="AU1267" s="420"/>
      <c r="AV1267" s="420"/>
      <c r="AW1267" s="420"/>
      <c r="AX1267" s="420"/>
      <c r="AY1267" s="420"/>
      <c r="AZ1267" s="420"/>
      <c r="BA1267" s="420"/>
      <c r="BB1267" s="420"/>
      <c r="BC1267" s="420"/>
      <c r="BD1267" s="420"/>
      <c r="BE1267" s="420"/>
      <c r="BF1267" s="420"/>
      <c r="BG1267" s="420"/>
      <c r="BH1267" s="420"/>
      <c r="BI1267" s="420"/>
      <c r="BJ1267" s="420"/>
      <c r="BK1267" s="420"/>
      <c r="BL1267" s="420"/>
      <c r="BM1267" s="420"/>
      <c r="BN1267" s="420"/>
      <c r="BO1267" s="420"/>
      <c r="BP1267" s="420"/>
      <c r="BQ1267" s="420"/>
      <c r="BR1267" s="420"/>
      <c r="BS1267" s="420"/>
      <c r="BT1267" s="420"/>
      <c r="BU1267" s="420"/>
      <c r="BV1267" s="420"/>
      <c r="BW1267" s="420"/>
      <c r="BX1267" s="420"/>
      <c r="BY1267" s="420"/>
      <c r="BZ1267" s="420"/>
      <c r="CA1267" s="420"/>
      <c r="CB1267" s="420"/>
      <c r="CC1267" s="420"/>
      <c r="CD1267" s="420"/>
      <c r="CE1267" s="420"/>
      <c r="CF1267" s="420"/>
      <c r="CG1267" s="420"/>
      <c r="CH1267" s="420"/>
      <c r="CI1267" s="420"/>
      <c r="CJ1267" s="420"/>
      <c r="CK1267" s="420"/>
      <c r="CL1267" s="420"/>
      <c r="CM1267" s="420"/>
      <c r="CN1267" s="420"/>
      <c r="CO1267" s="420"/>
      <c r="CP1267" s="420"/>
      <c r="CQ1267" s="420"/>
      <c r="CR1267" s="420"/>
      <c r="CS1267" s="420"/>
      <c r="CT1267" s="420"/>
      <c r="CU1267" s="420"/>
      <c r="CV1267" s="420"/>
      <c r="CW1267" s="420"/>
      <c r="CX1267" s="420"/>
      <c r="CY1267" s="420"/>
      <c r="CZ1267" s="420"/>
      <c r="DA1267" s="420"/>
      <c r="DB1267" s="420"/>
      <c r="DC1267" s="420"/>
      <c r="DD1267" s="420"/>
      <c r="DE1267" s="420"/>
      <c r="DF1267" s="420"/>
      <c r="DG1267" s="420"/>
      <c r="DH1267" s="420"/>
      <c r="DI1267" s="420"/>
      <c r="DJ1267" s="420"/>
      <c r="DK1267" s="420"/>
      <c r="DL1267" s="420"/>
      <c r="DM1267" s="420"/>
      <c r="DN1267" s="420"/>
      <c r="DO1267" s="420"/>
      <c r="DP1267" s="420"/>
      <c r="DQ1267" s="420"/>
      <c r="DR1267" s="420"/>
      <c r="DS1267" s="420"/>
      <c r="DT1267" s="420"/>
      <c r="DU1267" s="420"/>
      <c r="DV1267" s="420"/>
      <c r="DW1267" s="420"/>
      <c r="DX1267" s="420"/>
      <c r="DY1267" s="420"/>
      <c r="DZ1267" s="420"/>
      <c r="EA1267" s="420"/>
      <c r="EB1267" s="420"/>
      <c r="EC1267" s="420"/>
      <c r="ED1267" s="420"/>
      <c r="EE1267" s="420"/>
      <c r="EF1267" s="420"/>
      <c r="EG1267" s="420"/>
      <c r="EH1267" s="420"/>
      <c r="EI1267" s="420"/>
      <c r="EJ1267" s="420"/>
      <c r="EK1267" s="420"/>
      <c r="EL1267" s="420"/>
      <c r="EM1267" s="420"/>
      <c r="EN1267" s="420"/>
      <c r="EO1267" s="420"/>
      <c r="EP1267" s="420"/>
      <c r="EQ1267" s="420"/>
      <c r="ER1267" s="420"/>
      <c r="ES1267" s="420"/>
      <c r="ET1267" s="420"/>
      <c r="EU1267" s="420"/>
      <c r="EV1267" s="420"/>
      <c r="EW1267" s="420"/>
      <c r="EX1267" s="420"/>
      <c r="EY1267" s="420"/>
      <c r="EZ1267" s="420"/>
      <c r="FA1267" s="420"/>
      <c r="FB1267" s="420"/>
      <c r="FC1267" s="420"/>
      <c r="FD1267" s="420"/>
      <c r="FE1267" s="420"/>
      <c r="FF1267" s="420"/>
      <c r="FG1267" s="420"/>
      <c r="FH1267" s="420"/>
      <c r="FI1267" s="420"/>
      <c r="FJ1267" s="420"/>
      <c r="FK1267" s="420"/>
      <c r="FL1267" s="420"/>
      <c r="FM1267" s="420"/>
      <c r="FN1267" s="420"/>
      <c r="FO1267" s="420"/>
      <c r="FP1267" s="420"/>
      <c r="FQ1267" s="420"/>
      <c r="FR1267" s="420"/>
      <c r="FS1267" s="420"/>
      <c r="FT1267" s="420"/>
      <c r="FU1267" s="420"/>
      <c r="FV1267" s="420"/>
      <c r="FW1267" s="420"/>
      <c r="FX1267" s="420"/>
      <c r="FY1267" s="420"/>
    </row>
    <row r="1268" spans="1:256" s="421" customFormat="1" ht="12.75">
      <c r="A1268" s="954"/>
      <c r="B1268" s="955" t="s">
        <v>904</v>
      </c>
      <c r="C1268" s="956"/>
      <c r="D1268" s="956"/>
      <c r="E1268" s="956"/>
      <c r="F1268" s="956"/>
      <c r="G1268" s="420"/>
      <c r="H1268" s="420"/>
      <c r="I1268" s="420"/>
      <c r="J1268" s="420"/>
      <c r="K1268" s="420"/>
      <c r="L1268" s="420"/>
      <c r="M1268" s="420"/>
      <c r="N1268" s="646"/>
      <c r="O1268" s="646"/>
      <c r="P1268" s="420"/>
      <c r="Q1268" s="420"/>
      <c r="R1268" s="420"/>
      <c r="S1268" s="420"/>
      <c r="T1268" s="420"/>
      <c r="U1268" s="420"/>
      <c r="V1268" s="420"/>
      <c r="W1268" s="420"/>
      <c r="X1268" s="420"/>
      <c r="Y1268" s="420"/>
      <c r="Z1268" s="420"/>
      <c r="AA1268" s="420"/>
      <c r="AB1268" s="420"/>
      <c r="AC1268" s="420"/>
      <c r="AD1268" s="420"/>
      <c r="AE1268" s="420"/>
      <c r="AF1268" s="420"/>
      <c r="AG1268" s="420"/>
      <c r="AH1268" s="420"/>
      <c r="AI1268" s="420"/>
      <c r="AJ1268" s="420"/>
      <c r="AK1268" s="420"/>
      <c r="AL1268" s="420"/>
      <c r="AM1268" s="420"/>
      <c r="AN1268" s="420"/>
      <c r="AO1268" s="420"/>
      <c r="AP1268" s="420"/>
      <c r="AQ1268" s="420"/>
      <c r="AR1268" s="420"/>
      <c r="AS1268" s="420"/>
      <c r="AT1268" s="420"/>
      <c r="AU1268" s="420"/>
      <c r="AV1268" s="420"/>
      <c r="AW1268" s="420"/>
      <c r="AX1268" s="420"/>
      <c r="AY1268" s="420"/>
      <c r="AZ1268" s="420"/>
      <c r="BA1268" s="420"/>
      <c r="BB1268" s="420"/>
      <c r="BC1268" s="420"/>
      <c r="BD1268" s="420"/>
      <c r="BE1268" s="420"/>
      <c r="BF1268" s="420"/>
      <c r="BG1268" s="420"/>
      <c r="BH1268" s="420"/>
      <c r="BI1268" s="420"/>
      <c r="BJ1268" s="420"/>
      <c r="BK1268" s="420"/>
      <c r="BL1268" s="420"/>
      <c r="BM1268" s="420"/>
      <c r="BN1268" s="420"/>
      <c r="BO1268" s="420"/>
      <c r="BP1268" s="420"/>
      <c r="BQ1268" s="420"/>
      <c r="BR1268" s="420"/>
      <c r="BS1268" s="420"/>
      <c r="BT1268" s="420"/>
      <c r="BU1268" s="420"/>
      <c r="BV1268" s="420"/>
      <c r="BW1268" s="420"/>
      <c r="BX1268" s="420"/>
      <c r="BY1268" s="420"/>
      <c r="BZ1268" s="420"/>
      <c r="CA1268" s="420"/>
      <c r="CB1268" s="420"/>
      <c r="CC1268" s="420"/>
      <c r="CD1268" s="420"/>
      <c r="CE1268" s="420"/>
      <c r="CF1268" s="420"/>
      <c r="CG1268" s="420"/>
      <c r="CH1268" s="420"/>
      <c r="CI1268" s="420"/>
      <c r="CJ1268" s="420"/>
      <c r="CK1268" s="420"/>
      <c r="CL1268" s="420"/>
      <c r="CM1268" s="420"/>
      <c r="CN1268" s="420"/>
      <c r="CO1268" s="420"/>
      <c r="CP1268" s="420"/>
      <c r="CQ1268" s="420"/>
      <c r="CR1268" s="420"/>
      <c r="CS1268" s="420"/>
      <c r="CT1268" s="420"/>
      <c r="CU1268" s="420"/>
      <c r="CV1268" s="420"/>
      <c r="CW1268" s="420"/>
      <c r="CX1268" s="420"/>
      <c r="CY1268" s="420"/>
      <c r="CZ1268" s="420"/>
      <c r="DA1268" s="420"/>
      <c r="DB1268" s="420"/>
      <c r="DC1268" s="420"/>
      <c r="DD1268" s="420"/>
      <c r="DE1268" s="420"/>
      <c r="DF1268" s="420"/>
      <c r="DG1268" s="420"/>
      <c r="DH1268" s="420"/>
      <c r="DI1268" s="420"/>
      <c r="DJ1268" s="420"/>
      <c r="DK1268" s="420"/>
      <c r="DL1268" s="420"/>
      <c r="DM1268" s="420"/>
      <c r="DN1268" s="420"/>
      <c r="DO1268" s="420"/>
      <c r="DP1268" s="420"/>
      <c r="DQ1268" s="420"/>
      <c r="DR1268" s="420"/>
      <c r="DS1268" s="420"/>
      <c r="DT1268" s="420"/>
      <c r="DU1268" s="420"/>
      <c r="DV1268" s="420"/>
      <c r="DW1268" s="420"/>
      <c r="DX1268" s="420"/>
      <c r="DY1268" s="420"/>
      <c r="DZ1268" s="420"/>
      <c r="EA1268" s="420"/>
      <c r="EB1268" s="420"/>
      <c r="EC1268" s="420"/>
      <c r="ED1268" s="420"/>
      <c r="EE1268" s="420"/>
      <c r="EF1268" s="420"/>
      <c r="EG1268" s="420"/>
      <c r="EH1268" s="420"/>
      <c r="EI1268" s="420"/>
      <c r="EJ1268" s="420"/>
      <c r="EK1268" s="420"/>
      <c r="EL1268" s="420"/>
      <c r="EM1268" s="420"/>
      <c r="EN1268" s="420"/>
      <c r="EO1268" s="420"/>
      <c r="EP1268" s="420"/>
      <c r="EQ1268" s="420"/>
      <c r="ER1268" s="420"/>
      <c r="ES1268" s="420"/>
      <c r="ET1268" s="420"/>
      <c r="EU1268" s="420"/>
      <c r="EV1268" s="420"/>
      <c r="EW1268" s="420"/>
      <c r="EX1268" s="420"/>
      <c r="EY1268" s="420"/>
      <c r="EZ1268" s="420"/>
      <c r="FA1268" s="420"/>
      <c r="FB1268" s="420"/>
      <c r="FC1268" s="420"/>
      <c r="FD1268" s="420"/>
      <c r="FE1268" s="420"/>
      <c r="FF1268" s="420"/>
      <c r="FG1268" s="420"/>
      <c r="FH1268" s="420"/>
      <c r="FI1268" s="420"/>
      <c r="FJ1268" s="420"/>
      <c r="FK1268" s="420"/>
      <c r="FL1268" s="420"/>
      <c r="FM1268" s="420"/>
      <c r="FN1268" s="420"/>
      <c r="FO1268" s="420"/>
      <c r="FP1268" s="420"/>
      <c r="FQ1268" s="420"/>
      <c r="FR1268" s="420"/>
      <c r="FS1268" s="420"/>
      <c r="FT1268" s="420"/>
      <c r="FU1268" s="420"/>
      <c r="FV1268" s="420"/>
      <c r="FW1268" s="420"/>
      <c r="FX1268" s="420"/>
      <c r="FY1268" s="420"/>
      <c r="IV1268" s="420"/>
    </row>
    <row r="1269" spans="1:256" s="421" customFormat="1" ht="114.75">
      <c r="A1269" s="918" t="s">
        <v>905</v>
      </c>
      <c r="B1269" s="936" t="s">
        <v>906</v>
      </c>
      <c r="C1269" s="920" t="s">
        <v>47</v>
      </c>
      <c r="D1269" s="921">
        <v>1</v>
      </c>
      <c r="E1269" s="922"/>
      <c r="F1269" s="380">
        <f>D1269*E1269</f>
        <v>0</v>
      </c>
      <c r="G1269" s="420"/>
      <c r="H1269" s="420"/>
      <c r="I1269" s="420"/>
      <c r="J1269" s="420"/>
      <c r="K1269" s="420"/>
      <c r="L1269" s="420"/>
      <c r="M1269" s="420"/>
      <c r="N1269" s="640">
        <f>E1269*1.2</f>
        <v>0</v>
      </c>
      <c r="O1269" s="640">
        <f>N1269*D1269</f>
        <v>0</v>
      </c>
      <c r="P1269" s="420"/>
      <c r="Q1269" s="420"/>
      <c r="R1269" s="420"/>
      <c r="S1269" s="420"/>
      <c r="T1269" s="420"/>
      <c r="U1269" s="420"/>
      <c r="V1269" s="420"/>
      <c r="W1269" s="420"/>
      <c r="X1269" s="420"/>
      <c r="Y1269" s="420"/>
      <c r="Z1269" s="420"/>
      <c r="AA1269" s="420"/>
      <c r="AB1269" s="420"/>
      <c r="AC1269" s="420"/>
      <c r="AD1269" s="420"/>
      <c r="AE1269" s="420"/>
      <c r="AF1269" s="420"/>
      <c r="AG1269" s="420"/>
      <c r="AH1269" s="420"/>
      <c r="AI1269" s="420"/>
      <c r="AJ1269" s="420"/>
      <c r="AK1269" s="420"/>
      <c r="AL1269" s="420"/>
      <c r="AM1269" s="420"/>
      <c r="AN1269" s="420"/>
      <c r="AO1269" s="420"/>
      <c r="AP1269" s="420"/>
      <c r="AQ1269" s="420"/>
      <c r="AR1269" s="420"/>
      <c r="AS1269" s="420"/>
      <c r="AT1269" s="420"/>
      <c r="AU1269" s="420"/>
      <c r="AV1269" s="420"/>
      <c r="AW1269" s="420"/>
      <c r="AX1269" s="420"/>
      <c r="AY1269" s="420"/>
      <c r="AZ1269" s="420"/>
      <c r="BA1269" s="420"/>
      <c r="BB1269" s="420"/>
      <c r="BC1269" s="420"/>
      <c r="BD1269" s="420"/>
      <c r="BE1269" s="420"/>
      <c r="BF1269" s="420"/>
      <c r="BG1269" s="420"/>
      <c r="BH1269" s="420"/>
      <c r="BI1269" s="420"/>
      <c r="BJ1269" s="420"/>
      <c r="BK1269" s="420"/>
      <c r="BL1269" s="420"/>
      <c r="BM1269" s="420"/>
      <c r="BN1269" s="420"/>
      <c r="BO1269" s="420"/>
      <c r="BP1269" s="420"/>
      <c r="BQ1269" s="420"/>
      <c r="BR1269" s="420"/>
      <c r="BS1269" s="420"/>
      <c r="BT1269" s="420"/>
      <c r="BU1269" s="420"/>
      <c r="BV1269" s="420"/>
      <c r="BW1269" s="420"/>
      <c r="BX1269" s="420"/>
      <c r="BY1269" s="420"/>
      <c r="BZ1269" s="420"/>
      <c r="CA1269" s="420"/>
      <c r="CB1269" s="420"/>
      <c r="CC1269" s="420"/>
      <c r="CD1269" s="420"/>
      <c r="CE1269" s="420"/>
      <c r="CF1269" s="420"/>
      <c r="CG1269" s="420"/>
      <c r="CH1269" s="420"/>
      <c r="CI1269" s="420"/>
      <c r="CJ1269" s="420"/>
      <c r="CK1269" s="420"/>
      <c r="CL1269" s="420"/>
      <c r="CM1269" s="420"/>
      <c r="CN1269" s="420"/>
      <c r="CO1269" s="420"/>
      <c r="CP1269" s="420"/>
      <c r="CQ1269" s="420"/>
      <c r="CR1269" s="420"/>
      <c r="CS1269" s="420"/>
      <c r="CT1269" s="420"/>
      <c r="CU1269" s="420"/>
      <c r="CV1269" s="420"/>
      <c r="CW1269" s="420"/>
      <c r="CX1269" s="420"/>
      <c r="CY1269" s="420"/>
      <c r="CZ1269" s="420"/>
      <c r="DA1269" s="420"/>
      <c r="DB1269" s="420"/>
      <c r="DC1269" s="420"/>
      <c r="DD1269" s="420"/>
      <c r="DE1269" s="420"/>
      <c r="DF1269" s="420"/>
      <c r="DG1269" s="420"/>
      <c r="DH1269" s="420"/>
      <c r="DI1269" s="420"/>
      <c r="DJ1269" s="420"/>
      <c r="DK1269" s="420"/>
      <c r="DL1269" s="420"/>
      <c r="DM1269" s="420"/>
      <c r="DN1269" s="420"/>
      <c r="DO1269" s="420"/>
      <c r="DP1269" s="420"/>
      <c r="DQ1269" s="420"/>
      <c r="DR1269" s="420"/>
      <c r="DS1269" s="420"/>
      <c r="DT1269" s="420"/>
      <c r="DU1269" s="420"/>
      <c r="DV1269" s="420"/>
      <c r="DW1269" s="420"/>
      <c r="DX1269" s="420"/>
      <c r="DY1269" s="420"/>
      <c r="DZ1269" s="420"/>
      <c r="EA1269" s="420"/>
      <c r="EB1269" s="420"/>
      <c r="EC1269" s="420"/>
      <c r="ED1269" s="420"/>
      <c r="EE1269" s="420"/>
      <c r="EF1269" s="420"/>
      <c r="EG1269" s="420"/>
      <c r="EH1269" s="420"/>
      <c r="EI1269" s="420"/>
      <c r="EJ1269" s="420"/>
      <c r="EK1269" s="420"/>
      <c r="EL1269" s="420"/>
      <c r="EM1269" s="420"/>
      <c r="EN1269" s="420"/>
      <c r="EO1269" s="420"/>
      <c r="EP1269" s="420"/>
      <c r="EQ1269" s="420"/>
      <c r="ER1269" s="420"/>
      <c r="ES1269" s="420"/>
      <c r="ET1269" s="420"/>
      <c r="EU1269" s="420"/>
      <c r="EV1269" s="420"/>
      <c r="EW1269" s="420"/>
      <c r="EX1269" s="420"/>
      <c r="EY1269" s="420"/>
      <c r="EZ1269" s="420"/>
      <c r="FA1269" s="420"/>
      <c r="FB1269" s="420"/>
      <c r="FC1269" s="420"/>
      <c r="FD1269" s="420"/>
      <c r="FE1269" s="420"/>
      <c r="FF1269" s="420"/>
      <c r="FG1269" s="420"/>
      <c r="FH1269" s="420"/>
      <c r="FI1269" s="420"/>
      <c r="FJ1269" s="420"/>
      <c r="FK1269" s="420"/>
      <c r="FL1269" s="420"/>
      <c r="FM1269" s="420"/>
      <c r="FN1269" s="420"/>
      <c r="FO1269" s="420"/>
      <c r="FP1269" s="420"/>
      <c r="FQ1269" s="420"/>
      <c r="FR1269" s="420"/>
      <c r="FS1269" s="420"/>
      <c r="FT1269" s="420"/>
      <c r="FU1269" s="420"/>
      <c r="FV1269" s="420"/>
      <c r="FW1269" s="420"/>
      <c r="FX1269" s="420"/>
      <c r="FY1269" s="420"/>
      <c r="IV1269" s="420"/>
    </row>
    <row r="1270" spans="1:256" s="421" customFormat="1" ht="12.75">
      <c r="A1270" s="918"/>
      <c r="B1270" s="927" t="s">
        <v>907</v>
      </c>
      <c r="C1270" s="920"/>
      <c r="D1270" s="921"/>
      <c r="E1270" s="922"/>
      <c r="F1270" s="380"/>
      <c r="G1270" s="420"/>
      <c r="H1270" s="420"/>
      <c r="I1270" s="420"/>
      <c r="J1270" s="420"/>
      <c r="K1270" s="420"/>
      <c r="L1270" s="420"/>
      <c r="M1270" s="420"/>
      <c r="N1270" s="646"/>
      <c r="O1270" s="646"/>
      <c r="P1270" s="420"/>
      <c r="Q1270" s="420"/>
      <c r="R1270" s="420"/>
      <c r="S1270" s="420"/>
      <c r="T1270" s="420"/>
      <c r="U1270" s="420"/>
      <c r="V1270" s="420"/>
      <c r="W1270" s="420"/>
      <c r="X1270" s="420"/>
      <c r="Y1270" s="420"/>
      <c r="Z1270" s="420"/>
      <c r="AA1270" s="420"/>
      <c r="AB1270" s="420"/>
      <c r="AC1270" s="420"/>
      <c r="AD1270" s="420"/>
      <c r="AE1270" s="420"/>
      <c r="AF1270" s="420"/>
      <c r="AG1270" s="420"/>
      <c r="AH1270" s="420"/>
      <c r="AI1270" s="420"/>
      <c r="AJ1270" s="420"/>
      <c r="AK1270" s="420"/>
      <c r="AL1270" s="420"/>
      <c r="AM1270" s="420"/>
      <c r="AN1270" s="420"/>
      <c r="AO1270" s="420"/>
      <c r="AP1270" s="420"/>
      <c r="AQ1270" s="420"/>
      <c r="AR1270" s="420"/>
      <c r="AS1270" s="420"/>
      <c r="AT1270" s="420"/>
      <c r="AU1270" s="420"/>
      <c r="AV1270" s="420"/>
      <c r="AW1270" s="420"/>
      <c r="AX1270" s="420"/>
      <c r="AY1270" s="420"/>
      <c r="AZ1270" s="420"/>
      <c r="BA1270" s="420"/>
      <c r="BB1270" s="420"/>
      <c r="BC1270" s="420"/>
      <c r="BD1270" s="420"/>
      <c r="BE1270" s="420"/>
      <c r="BF1270" s="420"/>
      <c r="BG1270" s="420"/>
      <c r="BH1270" s="420"/>
      <c r="BI1270" s="420"/>
      <c r="BJ1270" s="420"/>
      <c r="BK1270" s="420"/>
      <c r="BL1270" s="420"/>
      <c r="BM1270" s="420"/>
      <c r="BN1270" s="420"/>
      <c r="BO1270" s="420"/>
      <c r="BP1270" s="420"/>
      <c r="BQ1270" s="420"/>
      <c r="BR1270" s="420"/>
      <c r="BS1270" s="420"/>
      <c r="BT1270" s="420"/>
      <c r="BU1270" s="420"/>
      <c r="BV1270" s="420"/>
      <c r="BW1270" s="420"/>
      <c r="BX1270" s="420"/>
      <c r="BY1270" s="420"/>
      <c r="BZ1270" s="420"/>
      <c r="CA1270" s="420"/>
      <c r="CB1270" s="420"/>
      <c r="CC1270" s="420"/>
      <c r="CD1270" s="420"/>
      <c r="CE1270" s="420"/>
      <c r="CF1270" s="420"/>
      <c r="CG1270" s="420"/>
      <c r="CH1270" s="420"/>
      <c r="CI1270" s="420"/>
      <c r="CJ1270" s="420"/>
      <c r="CK1270" s="420"/>
      <c r="CL1270" s="420"/>
      <c r="CM1270" s="420"/>
      <c r="CN1270" s="420"/>
      <c r="CO1270" s="420"/>
      <c r="CP1270" s="420"/>
      <c r="CQ1270" s="420"/>
      <c r="CR1270" s="420"/>
      <c r="CS1270" s="420"/>
      <c r="CT1270" s="420"/>
      <c r="CU1270" s="420"/>
      <c r="CV1270" s="420"/>
      <c r="CW1270" s="420"/>
      <c r="CX1270" s="420"/>
      <c r="CY1270" s="420"/>
      <c r="CZ1270" s="420"/>
      <c r="DA1270" s="420"/>
      <c r="DB1270" s="420"/>
      <c r="DC1270" s="420"/>
      <c r="DD1270" s="420"/>
      <c r="DE1270" s="420"/>
      <c r="DF1270" s="420"/>
      <c r="DG1270" s="420"/>
      <c r="DH1270" s="420"/>
      <c r="DI1270" s="420"/>
      <c r="DJ1270" s="420"/>
      <c r="DK1270" s="420"/>
      <c r="DL1270" s="420"/>
      <c r="DM1270" s="420"/>
      <c r="DN1270" s="420"/>
      <c r="DO1270" s="420"/>
      <c r="DP1270" s="420"/>
      <c r="DQ1270" s="420"/>
      <c r="DR1270" s="420"/>
      <c r="DS1270" s="420"/>
      <c r="DT1270" s="420"/>
      <c r="DU1270" s="420"/>
      <c r="DV1270" s="420"/>
      <c r="DW1270" s="420"/>
      <c r="DX1270" s="420"/>
      <c r="DY1270" s="420"/>
      <c r="DZ1270" s="420"/>
      <c r="EA1270" s="420"/>
      <c r="EB1270" s="420"/>
      <c r="EC1270" s="420"/>
      <c r="ED1270" s="420"/>
      <c r="EE1270" s="420"/>
      <c r="EF1270" s="420"/>
      <c r="EG1270" s="420"/>
      <c r="EH1270" s="420"/>
      <c r="EI1270" s="420"/>
      <c r="EJ1270" s="420"/>
      <c r="EK1270" s="420"/>
      <c r="EL1270" s="420"/>
      <c r="EM1270" s="420"/>
      <c r="EN1270" s="420"/>
      <c r="EO1270" s="420"/>
      <c r="EP1270" s="420"/>
      <c r="EQ1270" s="420"/>
      <c r="ER1270" s="420"/>
      <c r="ES1270" s="420"/>
      <c r="ET1270" s="420"/>
      <c r="EU1270" s="420"/>
      <c r="EV1270" s="420"/>
      <c r="EW1270" s="420"/>
      <c r="EX1270" s="420"/>
      <c r="EY1270" s="420"/>
      <c r="EZ1270" s="420"/>
      <c r="FA1270" s="420"/>
      <c r="FB1270" s="420"/>
      <c r="FC1270" s="420"/>
      <c r="FD1270" s="420"/>
      <c r="FE1270" s="420"/>
      <c r="FF1270" s="420"/>
      <c r="FG1270" s="420"/>
      <c r="FH1270" s="420"/>
      <c r="FI1270" s="420"/>
      <c r="FJ1270" s="420"/>
      <c r="FK1270" s="420"/>
      <c r="FL1270" s="420"/>
      <c r="FM1270" s="420"/>
      <c r="FN1270" s="420"/>
      <c r="FO1270" s="420"/>
      <c r="FP1270" s="420"/>
      <c r="FQ1270" s="420"/>
      <c r="FR1270" s="420"/>
      <c r="FS1270" s="420"/>
      <c r="FT1270" s="420"/>
      <c r="FU1270" s="420"/>
      <c r="FV1270" s="420"/>
      <c r="FW1270" s="420"/>
      <c r="FX1270" s="420"/>
      <c r="FY1270" s="420"/>
      <c r="IV1270" s="420"/>
    </row>
    <row r="1271" spans="1:256" s="421" customFormat="1" ht="38.25">
      <c r="A1271" s="918" t="s">
        <v>908</v>
      </c>
      <c r="B1271" s="927" t="s">
        <v>909</v>
      </c>
      <c r="C1271" s="920" t="s">
        <v>47</v>
      </c>
      <c r="D1271" s="921">
        <v>1</v>
      </c>
      <c r="E1271" s="922"/>
      <c r="F1271" s="380">
        <f aca="true" t="shared" si="43" ref="F1271:F1277">D1271*E1271</f>
        <v>0</v>
      </c>
      <c r="G1271" s="420"/>
      <c r="H1271" s="420"/>
      <c r="I1271" s="420"/>
      <c r="J1271" s="420"/>
      <c r="K1271" s="420"/>
      <c r="L1271" s="420"/>
      <c r="M1271" s="420"/>
      <c r="N1271" s="640">
        <f aca="true" t="shared" si="44" ref="N1271:N1277">E1271*1.2</f>
        <v>0</v>
      </c>
      <c r="O1271" s="640">
        <f aca="true" t="shared" si="45" ref="O1271:O1277">N1271*D1271</f>
        <v>0</v>
      </c>
      <c r="P1271" s="420"/>
      <c r="Q1271" s="420"/>
      <c r="R1271" s="420"/>
      <c r="S1271" s="420"/>
      <c r="T1271" s="420"/>
      <c r="U1271" s="420"/>
      <c r="V1271" s="420"/>
      <c r="W1271" s="420"/>
      <c r="X1271" s="420"/>
      <c r="Y1271" s="420"/>
      <c r="Z1271" s="420"/>
      <c r="AA1271" s="420"/>
      <c r="AB1271" s="420"/>
      <c r="AC1271" s="420"/>
      <c r="AD1271" s="420"/>
      <c r="AE1271" s="420"/>
      <c r="AF1271" s="420"/>
      <c r="AG1271" s="420"/>
      <c r="AH1271" s="420"/>
      <c r="AI1271" s="420"/>
      <c r="AJ1271" s="420"/>
      <c r="AK1271" s="420"/>
      <c r="AL1271" s="420"/>
      <c r="AM1271" s="420"/>
      <c r="AN1271" s="420"/>
      <c r="AO1271" s="420"/>
      <c r="AP1271" s="420"/>
      <c r="AQ1271" s="420"/>
      <c r="AR1271" s="420"/>
      <c r="AS1271" s="420"/>
      <c r="AT1271" s="420"/>
      <c r="AU1271" s="420"/>
      <c r="AV1271" s="420"/>
      <c r="AW1271" s="420"/>
      <c r="AX1271" s="420"/>
      <c r="AY1271" s="420"/>
      <c r="AZ1271" s="420"/>
      <c r="BA1271" s="420"/>
      <c r="BB1271" s="420"/>
      <c r="BC1271" s="420"/>
      <c r="BD1271" s="420"/>
      <c r="BE1271" s="420"/>
      <c r="BF1271" s="420"/>
      <c r="BG1271" s="420"/>
      <c r="BH1271" s="420"/>
      <c r="BI1271" s="420"/>
      <c r="BJ1271" s="420"/>
      <c r="BK1271" s="420"/>
      <c r="BL1271" s="420"/>
      <c r="BM1271" s="420"/>
      <c r="BN1271" s="420"/>
      <c r="BO1271" s="420"/>
      <c r="BP1271" s="420"/>
      <c r="BQ1271" s="420"/>
      <c r="BR1271" s="420"/>
      <c r="BS1271" s="420"/>
      <c r="BT1271" s="420"/>
      <c r="BU1271" s="420"/>
      <c r="BV1271" s="420"/>
      <c r="BW1271" s="420"/>
      <c r="BX1271" s="420"/>
      <c r="BY1271" s="420"/>
      <c r="BZ1271" s="420"/>
      <c r="CA1271" s="420"/>
      <c r="CB1271" s="420"/>
      <c r="CC1271" s="420"/>
      <c r="CD1271" s="420"/>
      <c r="CE1271" s="420"/>
      <c r="CF1271" s="420"/>
      <c r="CG1271" s="420"/>
      <c r="CH1271" s="420"/>
      <c r="CI1271" s="420"/>
      <c r="CJ1271" s="420"/>
      <c r="CK1271" s="420"/>
      <c r="CL1271" s="420"/>
      <c r="CM1271" s="420"/>
      <c r="CN1271" s="420"/>
      <c r="CO1271" s="420"/>
      <c r="CP1271" s="420"/>
      <c r="CQ1271" s="420"/>
      <c r="CR1271" s="420"/>
      <c r="CS1271" s="420"/>
      <c r="CT1271" s="420"/>
      <c r="CU1271" s="420"/>
      <c r="CV1271" s="420"/>
      <c r="CW1271" s="420"/>
      <c r="CX1271" s="420"/>
      <c r="CY1271" s="420"/>
      <c r="CZ1271" s="420"/>
      <c r="DA1271" s="420"/>
      <c r="DB1271" s="420"/>
      <c r="DC1271" s="420"/>
      <c r="DD1271" s="420"/>
      <c r="DE1271" s="420"/>
      <c r="DF1271" s="420"/>
      <c r="DG1271" s="420"/>
      <c r="DH1271" s="420"/>
      <c r="DI1271" s="420"/>
      <c r="DJ1271" s="420"/>
      <c r="DK1271" s="420"/>
      <c r="DL1271" s="420"/>
      <c r="DM1271" s="420"/>
      <c r="DN1271" s="420"/>
      <c r="DO1271" s="420"/>
      <c r="DP1271" s="420"/>
      <c r="DQ1271" s="420"/>
      <c r="DR1271" s="420"/>
      <c r="DS1271" s="420"/>
      <c r="DT1271" s="420"/>
      <c r="DU1271" s="420"/>
      <c r="DV1271" s="420"/>
      <c r="DW1271" s="420"/>
      <c r="DX1271" s="420"/>
      <c r="DY1271" s="420"/>
      <c r="DZ1271" s="420"/>
      <c r="EA1271" s="420"/>
      <c r="EB1271" s="420"/>
      <c r="EC1271" s="420"/>
      <c r="ED1271" s="420"/>
      <c r="EE1271" s="420"/>
      <c r="EF1271" s="420"/>
      <c r="EG1271" s="420"/>
      <c r="EH1271" s="420"/>
      <c r="EI1271" s="420"/>
      <c r="EJ1271" s="420"/>
      <c r="EK1271" s="420"/>
      <c r="EL1271" s="420"/>
      <c r="EM1271" s="420"/>
      <c r="EN1271" s="420"/>
      <c r="EO1271" s="420"/>
      <c r="EP1271" s="420"/>
      <c r="EQ1271" s="420"/>
      <c r="ER1271" s="420"/>
      <c r="ES1271" s="420"/>
      <c r="ET1271" s="420"/>
      <c r="EU1271" s="420"/>
      <c r="EV1271" s="420"/>
      <c r="EW1271" s="420"/>
      <c r="EX1271" s="420"/>
      <c r="EY1271" s="420"/>
      <c r="EZ1271" s="420"/>
      <c r="FA1271" s="420"/>
      <c r="FB1271" s="420"/>
      <c r="FC1271" s="420"/>
      <c r="FD1271" s="420"/>
      <c r="FE1271" s="420"/>
      <c r="FF1271" s="420"/>
      <c r="FG1271" s="420"/>
      <c r="FH1271" s="420"/>
      <c r="FI1271" s="420"/>
      <c r="FJ1271" s="420"/>
      <c r="FK1271" s="420"/>
      <c r="FL1271" s="420"/>
      <c r="FM1271" s="420"/>
      <c r="FN1271" s="420"/>
      <c r="FO1271" s="420"/>
      <c r="FP1271" s="420"/>
      <c r="FQ1271" s="420"/>
      <c r="FR1271" s="420"/>
      <c r="FS1271" s="420"/>
      <c r="FT1271" s="420"/>
      <c r="FU1271" s="420"/>
      <c r="FV1271" s="420"/>
      <c r="FW1271" s="420"/>
      <c r="FX1271" s="420"/>
      <c r="FY1271" s="420"/>
      <c r="IV1271" s="420"/>
    </row>
    <row r="1272" spans="1:256" s="421" customFormat="1" ht="25.5">
      <c r="A1272" s="918" t="s">
        <v>910</v>
      </c>
      <c r="B1272" s="927" t="s">
        <v>911</v>
      </c>
      <c r="C1272" s="920" t="s">
        <v>47</v>
      </c>
      <c r="D1272" s="921">
        <v>1</v>
      </c>
      <c r="E1272" s="922"/>
      <c r="F1272" s="380">
        <f t="shared" si="43"/>
        <v>0</v>
      </c>
      <c r="G1272" s="420"/>
      <c r="H1272" s="420"/>
      <c r="I1272" s="420"/>
      <c r="J1272" s="420"/>
      <c r="K1272" s="420"/>
      <c r="L1272" s="420"/>
      <c r="M1272" s="420"/>
      <c r="N1272" s="640">
        <f t="shared" si="44"/>
        <v>0</v>
      </c>
      <c r="O1272" s="640">
        <f t="shared" si="45"/>
        <v>0</v>
      </c>
      <c r="P1272" s="420"/>
      <c r="Q1272" s="420"/>
      <c r="R1272" s="420"/>
      <c r="S1272" s="420"/>
      <c r="T1272" s="420"/>
      <c r="U1272" s="420"/>
      <c r="V1272" s="420"/>
      <c r="W1272" s="420"/>
      <c r="X1272" s="420"/>
      <c r="Y1272" s="420"/>
      <c r="Z1272" s="420"/>
      <c r="AA1272" s="420"/>
      <c r="AB1272" s="420"/>
      <c r="AC1272" s="420"/>
      <c r="AD1272" s="420"/>
      <c r="AE1272" s="420"/>
      <c r="AF1272" s="420"/>
      <c r="AG1272" s="420"/>
      <c r="AH1272" s="420"/>
      <c r="AI1272" s="420"/>
      <c r="AJ1272" s="420"/>
      <c r="AK1272" s="420"/>
      <c r="AL1272" s="420"/>
      <c r="AM1272" s="420"/>
      <c r="AN1272" s="420"/>
      <c r="AO1272" s="420"/>
      <c r="AP1272" s="420"/>
      <c r="AQ1272" s="420"/>
      <c r="AR1272" s="420"/>
      <c r="AS1272" s="420"/>
      <c r="AT1272" s="420"/>
      <c r="AU1272" s="420"/>
      <c r="AV1272" s="420"/>
      <c r="AW1272" s="420"/>
      <c r="AX1272" s="420"/>
      <c r="AY1272" s="420"/>
      <c r="AZ1272" s="420"/>
      <c r="BA1272" s="420"/>
      <c r="BB1272" s="420"/>
      <c r="BC1272" s="420"/>
      <c r="BD1272" s="420"/>
      <c r="BE1272" s="420"/>
      <c r="BF1272" s="420"/>
      <c r="BG1272" s="420"/>
      <c r="BH1272" s="420"/>
      <c r="BI1272" s="420"/>
      <c r="BJ1272" s="420"/>
      <c r="BK1272" s="420"/>
      <c r="BL1272" s="420"/>
      <c r="BM1272" s="420"/>
      <c r="BN1272" s="420"/>
      <c r="BO1272" s="420"/>
      <c r="BP1272" s="420"/>
      <c r="BQ1272" s="420"/>
      <c r="BR1272" s="420"/>
      <c r="BS1272" s="420"/>
      <c r="BT1272" s="420"/>
      <c r="BU1272" s="420"/>
      <c r="BV1272" s="420"/>
      <c r="BW1272" s="420"/>
      <c r="BX1272" s="420"/>
      <c r="BY1272" s="420"/>
      <c r="BZ1272" s="420"/>
      <c r="CA1272" s="420"/>
      <c r="CB1272" s="420"/>
      <c r="CC1272" s="420"/>
      <c r="CD1272" s="420"/>
      <c r="CE1272" s="420"/>
      <c r="CF1272" s="420"/>
      <c r="CG1272" s="420"/>
      <c r="CH1272" s="420"/>
      <c r="CI1272" s="420"/>
      <c r="CJ1272" s="420"/>
      <c r="CK1272" s="420"/>
      <c r="CL1272" s="420"/>
      <c r="CM1272" s="420"/>
      <c r="CN1272" s="420"/>
      <c r="CO1272" s="420"/>
      <c r="CP1272" s="420"/>
      <c r="CQ1272" s="420"/>
      <c r="CR1272" s="420"/>
      <c r="CS1272" s="420"/>
      <c r="CT1272" s="420"/>
      <c r="CU1272" s="420"/>
      <c r="CV1272" s="420"/>
      <c r="CW1272" s="420"/>
      <c r="CX1272" s="420"/>
      <c r="CY1272" s="420"/>
      <c r="CZ1272" s="420"/>
      <c r="DA1272" s="420"/>
      <c r="DB1272" s="420"/>
      <c r="DC1272" s="420"/>
      <c r="DD1272" s="420"/>
      <c r="DE1272" s="420"/>
      <c r="DF1272" s="420"/>
      <c r="DG1272" s="420"/>
      <c r="DH1272" s="420"/>
      <c r="DI1272" s="420"/>
      <c r="DJ1272" s="420"/>
      <c r="DK1272" s="420"/>
      <c r="DL1272" s="420"/>
      <c r="DM1272" s="420"/>
      <c r="DN1272" s="420"/>
      <c r="DO1272" s="420"/>
      <c r="DP1272" s="420"/>
      <c r="DQ1272" s="420"/>
      <c r="DR1272" s="420"/>
      <c r="DS1272" s="420"/>
      <c r="DT1272" s="420"/>
      <c r="DU1272" s="420"/>
      <c r="DV1272" s="420"/>
      <c r="DW1272" s="420"/>
      <c r="DX1272" s="420"/>
      <c r="DY1272" s="420"/>
      <c r="DZ1272" s="420"/>
      <c r="EA1272" s="420"/>
      <c r="EB1272" s="420"/>
      <c r="EC1272" s="420"/>
      <c r="ED1272" s="420"/>
      <c r="EE1272" s="420"/>
      <c r="EF1272" s="420"/>
      <c r="EG1272" s="420"/>
      <c r="EH1272" s="420"/>
      <c r="EI1272" s="420"/>
      <c r="EJ1272" s="420"/>
      <c r="EK1272" s="420"/>
      <c r="EL1272" s="420"/>
      <c r="EM1272" s="420"/>
      <c r="EN1272" s="420"/>
      <c r="EO1272" s="420"/>
      <c r="EP1272" s="420"/>
      <c r="EQ1272" s="420"/>
      <c r="ER1272" s="420"/>
      <c r="ES1272" s="420"/>
      <c r="ET1272" s="420"/>
      <c r="EU1272" s="420"/>
      <c r="EV1272" s="420"/>
      <c r="EW1272" s="420"/>
      <c r="EX1272" s="420"/>
      <c r="EY1272" s="420"/>
      <c r="EZ1272" s="420"/>
      <c r="FA1272" s="420"/>
      <c r="FB1272" s="420"/>
      <c r="FC1272" s="420"/>
      <c r="FD1272" s="420"/>
      <c r="FE1272" s="420"/>
      <c r="FF1272" s="420"/>
      <c r="FG1272" s="420"/>
      <c r="FH1272" s="420"/>
      <c r="FI1272" s="420"/>
      <c r="FJ1272" s="420"/>
      <c r="FK1272" s="420"/>
      <c r="FL1272" s="420"/>
      <c r="FM1272" s="420"/>
      <c r="FN1272" s="420"/>
      <c r="FO1272" s="420"/>
      <c r="FP1272" s="420"/>
      <c r="FQ1272" s="420"/>
      <c r="FR1272" s="420"/>
      <c r="FS1272" s="420"/>
      <c r="FT1272" s="420"/>
      <c r="FU1272" s="420"/>
      <c r="FV1272" s="420"/>
      <c r="FW1272" s="420"/>
      <c r="FX1272" s="420"/>
      <c r="FY1272" s="420"/>
      <c r="IV1272" s="420"/>
    </row>
    <row r="1273" spans="1:256" s="421" customFormat="1" ht="25.5">
      <c r="A1273" s="918" t="s">
        <v>912</v>
      </c>
      <c r="B1273" s="919" t="s">
        <v>913</v>
      </c>
      <c r="C1273" s="920" t="s">
        <v>47</v>
      </c>
      <c r="D1273" s="921">
        <v>5</v>
      </c>
      <c r="E1273" s="922"/>
      <c r="F1273" s="380">
        <f t="shared" si="43"/>
        <v>0</v>
      </c>
      <c r="G1273" s="420"/>
      <c r="H1273" s="420"/>
      <c r="I1273" s="420"/>
      <c r="J1273" s="420"/>
      <c r="K1273" s="420"/>
      <c r="L1273" s="420"/>
      <c r="M1273" s="420"/>
      <c r="N1273" s="640">
        <f t="shared" si="44"/>
        <v>0</v>
      </c>
      <c r="O1273" s="640">
        <f t="shared" si="45"/>
        <v>0</v>
      </c>
      <c r="P1273" s="420"/>
      <c r="Q1273" s="420"/>
      <c r="R1273" s="420"/>
      <c r="S1273" s="420"/>
      <c r="T1273" s="420"/>
      <c r="U1273" s="420"/>
      <c r="V1273" s="420"/>
      <c r="W1273" s="420"/>
      <c r="X1273" s="420"/>
      <c r="Y1273" s="420"/>
      <c r="Z1273" s="420"/>
      <c r="AA1273" s="420"/>
      <c r="AB1273" s="420"/>
      <c r="AC1273" s="420"/>
      <c r="AD1273" s="420"/>
      <c r="AE1273" s="420"/>
      <c r="AF1273" s="420"/>
      <c r="AG1273" s="420"/>
      <c r="AH1273" s="420"/>
      <c r="AI1273" s="420"/>
      <c r="AJ1273" s="420"/>
      <c r="AK1273" s="420"/>
      <c r="AL1273" s="420"/>
      <c r="AM1273" s="420"/>
      <c r="AN1273" s="420"/>
      <c r="AO1273" s="420"/>
      <c r="AP1273" s="420"/>
      <c r="AQ1273" s="420"/>
      <c r="AR1273" s="420"/>
      <c r="AS1273" s="420"/>
      <c r="AT1273" s="420"/>
      <c r="AU1273" s="420"/>
      <c r="AV1273" s="420"/>
      <c r="AW1273" s="420"/>
      <c r="AX1273" s="420"/>
      <c r="AY1273" s="420"/>
      <c r="AZ1273" s="420"/>
      <c r="BA1273" s="420"/>
      <c r="BB1273" s="420"/>
      <c r="BC1273" s="420"/>
      <c r="BD1273" s="420"/>
      <c r="BE1273" s="420"/>
      <c r="BF1273" s="420"/>
      <c r="BG1273" s="420"/>
      <c r="BH1273" s="420"/>
      <c r="BI1273" s="420"/>
      <c r="BJ1273" s="420"/>
      <c r="BK1273" s="420"/>
      <c r="BL1273" s="420"/>
      <c r="BM1273" s="420"/>
      <c r="BN1273" s="420"/>
      <c r="BO1273" s="420"/>
      <c r="BP1273" s="420"/>
      <c r="BQ1273" s="420"/>
      <c r="BR1273" s="420"/>
      <c r="BS1273" s="420"/>
      <c r="BT1273" s="420"/>
      <c r="BU1273" s="420"/>
      <c r="BV1273" s="420"/>
      <c r="BW1273" s="420"/>
      <c r="BX1273" s="420"/>
      <c r="BY1273" s="420"/>
      <c r="BZ1273" s="420"/>
      <c r="CA1273" s="420"/>
      <c r="CB1273" s="420"/>
      <c r="CC1273" s="420"/>
      <c r="CD1273" s="420"/>
      <c r="CE1273" s="420"/>
      <c r="CF1273" s="420"/>
      <c r="CG1273" s="420"/>
      <c r="CH1273" s="420"/>
      <c r="CI1273" s="420"/>
      <c r="CJ1273" s="420"/>
      <c r="CK1273" s="420"/>
      <c r="CL1273" s="420"/>
      <c r="CM1273" s="420"/>
      <c r="CN1273" s="420"/>
      <c r="CO1273" s="420"/>
      <c r="CP1273" s="420"/>
      <c r="CQ1273" s="420"/>
      <c r="CR1273" s="420"/>
      <c r="CS1273" s="420"/>
      <c r="CT1273" s="420"/>
      <c r="CU1273" s="420"/>
      <c r="CV1273" s="420"/>
      <c r="CW1273" s="420"/>
      <c r="CX1273" s="420"/>
      <c r="CY1273" s="420"/>
      <c r="CZ1273" s="420"/>
      <c r="DA1273" s="420"/>
      <c r="DB1273" s="420"/>
      <c r="DC1273" s="420"/>
      <c r="DD1273" s="420"/>
      <c r="DE1273" s="420"/>
      <c r="DF1273" s="420"/>
      <c r="DG1273" s="420"/>
      <c r="DH1273" s="420"/>
      <c r="DI1273" s="420"/>
      <c r="DJ1273" s="420"/>
      <c r="DK1273" s="420"/>
      <c r="DL1273" s="420"/>
      <c r="DM1273" s="420"/>
      <c r="DN1273" s="420"/>
      <c r="DO1273" s="420"/>
      <c r="DP1273" s="420"/>
      <c r="DQ1273" s="420"/>
      <c r="DR1273" s="420"/>
      <c r="DS1273" s="420"/>
      <c r="DT1273" s="420"/>
      <c r="DU1273" s="420"/>
      <c r="DV1273" s="420"/>
      <c r="DW1273" s="420"/>
      <c r="DX1273" s="420"/>
      <c r="DY1273" s="420"/>
      <c r="DZ1273" s="420"/>
      <c r="EA1273" s="420"/>
      <c r="EB1273" s="420"/>
      <c r="EC1273" s="420"/>
      <c r="ED1273" s="420"/>
      <c r="EE1273" s="420"/>
      <c r="EF1273" s="420"/>
      <c r="EG1273" s="420"/>
      <c r="EH1273" s="420"/>
      <c r="EI1273" s="420"/>
      <c r="EJ1273" s="420"/>
      <c r="EK1273" s="420"/>
      <c r="EL1273" s="420"/>
      <c r="EM1273" s="420"/>
      <c r="EN1273" s="420"/>
      <c r="EO1273" s="420"/>
      <c r="EP1273" s="420"/>
      <c r="EQ1273" s="420"/>
      <c r="ER1273" s="420"/>
      <c r="ES1273" s="420"/>
      <c r="ET1273" s="420"/>
      <c r="EU1273" s="420"/>
      <c r="EV1273" s="420"/>
      <c r="EW1273" s="420"/>
      <c r="EX1273" s="420"/>
      <c r="EY1273" s="420"/>
      <c r="EZ1273" s="420"/>
      <c r="FA1273" s="420"/>
      <c r="FB1273" s="420"/>
      <c r="FC1273" s="420"/>
      <c r="FD1273" s="420"/>
      <c r="FE1273" s="420"/>
      <c r="FF1273" s="420"/>
      <c r="FG1273" s="420"/>
      <c r="FH1273" s="420"/>
      <c r="FI1273" s="420"/>
      <c r="FJ1273" s="420"/>
      <c r="FK1273" s="420"/>
      <c r="FL1273" s="420"/>
      <c r="FM1273" s="420"/>
      <c r="FN1273" s="420"/>
      <c r="FO1273" s="420"/>
      <c r="FP1273" s="420"/>
      <c r="FQ1273" s="420"/>
      <c r="FR1273" s="420"/>
      <c r="FS1273" s="420"/>
      <c r="FT1273" s="420"/>
      <c r="FU1273" s="420"/>
      <c r="FV1273" s="420"/>
      <c r="FW1273" s="420"/>
      <c r="FX1273" s="420"/>
      <c r="FY1273" s="420"/>
      <c r="IV1273" s="420"/>
    </row>
    <row r="1274" spans="1:256" s="421" customFormat="1" ht="51">
      <c r="A1274" s="918" t="s">
        <v>914</v>
      </c>
      <c r="B1274" s="919" t="s">
        <v>915</v>
      </c>
      <c r="C1274" s="920" t="s">
        <v>47</v>
      </c>
      <c r="D1274" s="921">
        <v>120</v>
      </c>
      <c r="E1274" s="922"/>
      <c r="F1274" s="380">
        <f t="shared" si="43"/>
        <v>0</v>
      </c>
      <c r="G1274" s="420"/>
      <c r="H1274" s="420"/>
      <c r="I1274" s="420"/>
      <c r="J1274" s="420"/>
      <c r="K1274" s="420"/>
      <c r="L1274" s="420"/>
      <c r="M1274" s="420"/>
      <c r="N1274" s="640">
        <f t="shared" si="44"/>
        <v>0</v>
      </c>
      <c r="O1274" s="640">
        <f t="shared" si="45"/>
        <v>0</v>
      </c>
      <c r="P1274" s="420"/>
      <c r="Q1274" s="420"/>
      <c r="R1274" s="420"/>
      <c r="S1274" s="420"/>
      <c r="T1274" s="420"/>
      <c r="U1274" s="420"/>
      <c r="V1274" s="420"/>
      <c r="W1274" s="420"/>
      <c r="X1274" s="420"/>
      <c r="Y1274" s="420"/>
      <c r="Z1274" s="420"/>
      <c r="AA1274" s="420"/>
      <c r="AB1274" s="420"/>
      <c r="AC1274" s="420"/>
      <c r="AD1274" s="420"/>
      <c r="AE1274" s="420"/>
      <c r="AF1274" s="420"/>
      <c r="AG1274" s="420"/>
      <c r="AH1274" s="420"/>
      <c r="AI1274" s="420"/>
      <c r="AJ1274" s="420"/>
      <c r="AK1274" s="420"/>
      <c r="AL1274" s="420"/>
      <c r="AM1274" s="420"/>
      <c r="AN1274" s="420"/>
      <c r="AO1274" s="420"/>
      <c r="AP1274" s="420"/>
      <c r="AQ1274" s="420"/>
      <c r="AR1274" s="420"/>
      <c r="AS1274" s="420"/>
      <c r="AT1274" s="420"/>
      <c r="AU1274" s="420"/>
      <c r="AV1274" s="420"/>
      <c r="AW1274" s="420"/>
      <c r="AX1274" s="420"/>
      <c r="AY1274" s="420"/>
      <c r="AZ1274" s="420"/>
      <c r="BA1274" s="420"/>
      <c r="BB1274" s="420"/>
      <c r="BC1274" s="420"/>
      <c r="BD1274" s="420"/>
      <c r="BE1274" s="420"/>
      <c r="BF1274" s="420"/>
      <c r="BG1274" s="420"/>
      <c r="BH1274" s="420"/>
      <c r="BI1274" s="420"/>
      <c r="BJ1274" s="420"/>
      <c r="BK1274" s="420"/>
      <c r="BL1274" s="420"/>
      <c r="BM1274" s="420"/>
      <c r="BN1274" s="420"/>
      <c r="BO1274" s="420"/>
      <c r="BP1274" s="420"/>
      <c r="BQ1274" s="420"/>
      <c r="BR1274" s="420"/>
      <c r="BS1274" s="420"/>
      <c r="BT1274" s="420"/>
      <c r="BU1274" s="420"/>
      <c r="BV1274" s="420"/>
      <c r="BW1274" s="420"/>
      <c r="BX1274" s="420"/>
      <c r="BY1274" s="420"/>
      <c r="BZ1274" s="420"/>
      <c r="CA1274" s="420"/>
      <c r="CB1274" s="420"/>
      <c r="CC1274" s="420"/>
      <c r="CD1274" s="420"/>
      <c r="CE1274" s="420"/>
      <c r="CF1274" s="420"/>
      <c r="CG1274" s="420"/>
      <c r="CH1274" s="420"/>
      <c r="CI1274" s="420"/>
      <c r="CJ1274" s="420"/>
      <c r="CK1274" s="420"/>
      <c r="CL1274" s="420"/>
      <c r="CM1274" s="420"/>
      <c r="CN1274" s="420"/>
      <c r="CO1274" s="420"/>
      <c r="CP1274" s="420"/>
      <c r="CQ1274" s="420"/>
      <c r="CR1274" s="420"/>
      <c r="CS1274" s="420"/>
      <c r="CT1274" s="420"/>
      <c r="CU1274" s="420"/>
      <c r="CV1274" s="420"/>
      <c r="CW1274" s="420"/>
      <c r="CX1274" s="420"/>
      <c r="CY1274" s="420"/>
      <c r="CZ1274" s="420"/>
      <c r="DA1274" s="420"/>
      <c r="DB1274" s="420"/>
      <c r="DC1274" s="420"/>
      <c r="DD1274" s="420"/>
      <c r="DE1274" s="420"/>
      <c r="DF1274" s="420"/>
      <c r="DG1274" s="420"/>
      <c r="DH1274" s="420"/>
      <c r="DI1274" s="420"/>
      <c r="DJ1274" s="420"/>
      <c r="DK1274" s="420"/>
      <c r="DL1274" s="420"/>
      <c r="DM1274" s="420"/>
      <c r="DN1274" s="420"/>
      <c r="DO1274" s="420"/>
      <c r="DP1274" s="420"/>
      <c r="DQ1274" s="420"/>
      <c r="DR1274" s="420"/>
      <c r="DS1274" s="420"/>
      <c r="DT1274" s="420"/>
      <c r="DU1274" s="420"/>
      <c r="DV1274" s="420"/>
      <c r="DW1274" s="420"/>
      <c r="DX1274" s="420"/>
      <c r="DY1274" s="420"/>
      <c r="DZ1274" s="420"/>
      <c r="EA1274" s="420"/>
      <c r="EB1274" s="420"/>
      <c r="EC1274" s="420"/>
      <c r="ED1274" s="420"/>
      <c r="EE1274" s="420"/>
      <c r="EF1274" s="420"/>
      <c r="EG1274" s="420"/>
      <c r="EH1274" s="420"/>
      <c r="EI1274" s="420"/>
      <c r="EJ1274" s="420"/>
      <c r="EK1274" s="420"/>
      <c r="EL1274" s="420"/>
      <c r="EM1274" s="420"/>
      <c r="EN1274" s="420"/>
      <c r="EO1274" s="420"/>
      <c r="EP1274" s="420"/>
      <c r="EQ1274" s="420"/>
      <c r="ER1274" s="420"/>
      <c r="ES1274" s="420"/>
      <c r="ET1274" s="420"/>
      <c r="EU1274" s="420"/>
      <c r="EV1274" s="420"/>
      <c r="EW1274" s="420"/>
      <c r="EX1274" s="420"/>
      <c r="EY1274" s="420"/>
      <c r="EZ1274" s="420"/>
      <c r="FA1274" s="420"/>
      <c r="FB1274" s="420"/>
      <c r="FC1274" s="420"/>
      <c r="FD1274" s="420"/>
      <c r="FE1274" s="420"/>
      <c r="FF1274" s="420"/>
      <c r="FG1274" s="420"/>
      <c r="FH1274" s="420"/>
      <c r="FI1274" s="420"/>
      <c r="FJ1274" s="420"/>
      <c r="FK1274" s="420"/>
      <c r="FL1274" s="420"/>
      <c r="FM1274" s="420"/>
      <c r="FN1274" s="420"/>
      <c r="FO1274" s="420"/>
      <c r="FP1274" s="420"/>
      <c r="FQ1274" s="420"/>
      <c r="FR1274" s="420"/>
      <c r="FS1274" s="420"/>
      <c r="FT1274" s="420"/>
      <c r="FU1274" s="420"/>
      <c r="FV1274" s="420"/>
      <c r="FW1274" s="420"/>
      <c r="FX1274" s="420"/>
      <c r="FY1274" s="420"/>
      <c r="IV1274" s="420"/>
    </row>
    <row r="1275" spans="1:256" s="421" customFormat="1" ht="38.25">
      <c r="A1275" s="918" t="s">
        <v>916</v>
      </c>
      <c r="B1275" s="927" t="s">
        <v>917</v>
      </c>
      <c r="C1275" s="920" t="s">
        <v>47</v>
      </c>
      <c r="D1275" s="921">
        <v>1</v>
      </c>
      <c r="E1275" s="922"/>
      <c r="F1275" s="380">
        <f t="shared" si="43"/>
        <v>0</v>
      </c>
      <c r="G1275" s="420"/>
      <c r="H1275" s="420"/>
      <c r="I1275" s="420"/>
      <c r="J1275" s="420"/>
      <c r="K1275" s="420"/>
      <c r="L1275" s="420"/>
      <c r="M1275" s="420"/>
      <c r="N1275" s="640">
        <f t="shared" si="44"/>
        <v>0</v>
      </c>
      <c r="O1275" s="640">
        <f t="shared" si="45"/>
        <v>0</v>
      </c>
      <c r="P1275" s="420"/>
      <c r="Q1275" s="420"/>
      <c r="R1275" s="420"/>
      <c r="S1275" s="420"/>
      <c r="T1275" s="420"/>
      <c r="U1275" s="420"/>
      <c r="V1275" s="420"/>
      <c r="W1275" s="420"/>
      <c r="X1275" s="420"/>
      <c r="Y1275" s="420"/>
      <c r="Z1275" s="420"/>
      <c r="AA1275" s="420"/>
      <c r="AB1275" s="420"/>
      <c r="AC1275" s="420"/>
      <c r="AD1275" s="420"/>
      <c r="AE1275" s="420"/>
      <c r="AF1275" s="420"/>
      <c r="AG1275" s="420"/>
      <c r="AH1275" s="420"/>
      <c r="AI1275" s="420"/>
      <c r="AJ1275" s="420"/>
      <c r="AK1275" s="420"/>
      <c r="AL1275" s="420"/>
      <c r="AM1275" s="420"/>
      <c r="AN1275" s="420"/>
      <c r="AO1275" s="420"/>
      <c r="AP1275" s="420"/>
      <c r="AQ1275" s="420"/>
      <c r="AR1275" s="420"/>
      <c r="AS1275" s="420"/>
      <c r="AT1275" s="420"/>
      <c r="AU1275" s="420"/>
      <c r="AV1275" s="420"/>
      <c r="AW1275" s="420"/>
      <c r="AX1275" s="420"/>
      <c r="AY1275" s="420"/>
      <c r="AZ1275" s="420"/>
      <c r="BA1275" s="420"/>
      <c r="BB1275" s="420"/>
      <c r="BC1275" s="420"/>
      <c r="BD1275" s="420"/>
      <c r="BE1275" s="420"/>
      <c r="BF1275" s="420"/>
      <c r="BG1275" s="420"/>
      <c r="BH1275" s="420"/>
      <c r="BI1275" s="420"/>
      <c r="BJ1275" s="420"/>
      <c r="BK1275" s="420"/>
      <c r="BL1275" s="420"/>
      <c r="BM1275" s="420"/>
      <c r="BN1275" s="420"/>
      <c r="BO1275" s="420"/>
      <c r="BP1275" s="420"/>
      <c r="BQ1275" s="420"/>
      <c r="BR1275" s="420"/>
      <c r="BS1275" s="420"/>
      <c r="BT1275" s="420"/>
      <c r="BU1275" s="420"/>
      <c r="BV1275" s="420"/>
      <c r="BW1275" s="420"/>
      <c r="BX1275" s="420"/>
      <c r="BY1275" s="420"/>
      <c r="BZ1275" s="420"/>
      <c r="CA1275" s="420"/>
      <c r="CB1275" s="420"/>
      <c r="CC1275" s="420"/>
      <c r="CD1275" s="420"/>
      <c r="CE1275" s="420"/>
      <c r="CF1275" s="420"/>
      <c r="CG1275" s="420"/>
      <c r="CH1275" s="420"/>
      <c r="CI1275" s="420"/>
      <c r="CJ1275" s="420"/>
      <c r="CK1275" s="420"/>
      <c r="CL1275" s="420"/>
      <c r="CM1275" s="420"/>
      <c r="CN1275" s="420"/>
      <c r="CO1275" s="420"/>
      <c r="CP1275" s="420"/>
      <c r="CQ1275" s="420"/>
      <c r="CR1275" s="420"/>
      <c r="CS1275" s="420"/>
      <c r="CT1275" s="420"/>
      <c r="CU1275" s="420"/>
      <c r="CV1275" s="420"/>
      <c r="CW1275" s="420"/>
      <c r="CX1275" s="420"/>
      <c r="CY1275" s="420"/>
      <c r="CZ1275" s="420"/>
      <c r="DA1275" s="420"/>
      <c r="DB1275" s="420"/>
      <c r="DC1275" s="420"/>
      <c r="DD1275" s="420"/>
      <c r="DE1275" s="420"/>
      <c r="DF1275" s="420"/>
      <c r="DG1275" s="420"/>
      <c r="DH1275" s="420"/>
      <c r="DI1275" s="420"/>
      <c r="DJ1275" s="420"/>
      <c r="DK1275" s="420"/>
      <c r="DL1275" s="420"/>
      <c r="DM1275" s="420"/>
      <c r="DN1275" s="420"/>
      <c r="DO1275" s="420"/>
      <c r="DP1275" s="420"/>
      <c r="DQ1275" s="420"/>
      <c r="DR1275" s="420"/>
      <c r="DS1275" s="420"/>
      <c r="DT1275" s="420"/>
      <c r="DU1275" s="420"/>
      <c r="DV1275" s="420"/>
      <c r="DW1275" s="420"/>
      <c r="DX1275" s="420"/>
      <c r="DY1275" s="420"/>
      <c r="DZ1275" s="420"/>
      <c r="EA1275" s="420"/>
      <c r="EB1275" s="420"/>
      <c r="EC1275" s="420"/>
      <c r="ED1275" s="420"/>
      <c r="EE1275" s="420"/>
      <c r="EF1275" s="420"/>
      <c r="EG1275" s="420"/>
      <c r="EH1275" s="420"/>
      <c r="EI1275" s="420"/>
      <c r="EJ1275" s="420"/>
      <c r="EK1275" s="420"/>
      <c r="EL1275" s="420"/>
      <c r="EM1275" s="420"/>
      <c r="EN1275" s="420"/>
      <c r="EO1275" s="420"/>
      <c r="EP1275" s="420"/>
      <c r="EQ1275" s="420"/>
      <c r="ER1275" s="420"/>
      <c r="ES1275" s="420"/>
      <c r="ET1275" s="420"/>
      <c r="EU1275" s="420"/>
      <c r="EV1275" s="420"/>
      <c r="EW1275" s="420"/>
      <c r="EX1275" s="420"/>
      <c r="EY1275" s="420"/>
      <c r="EZ1275" s="420"/>
      <c r="FA1275" s="420"/>
      <c r="FB1275" s="420"/>
      <c r="FC1275" s="420"/>
      <c r="FD1275" s="420"/>
      <c r="FE1275" s="420"/>
      <c r="FF1275" s="420"/>
      <c r="FG1275" s="420"/>
      <c r="FH1275" s="420"/>
      <c r="FI1275" s="420"/>
      <c r="FJ1275" s="420"/>
      <c r="FK1275" s="420"/>
      <c r="FL1275" s="420"/>
      <c r="FM1275" s="420"/>
      <c r="FN1275" s="420"/>
      <c r="FO1275" s="420"/>
      <c r="FP1275" s="420"/>
      <c r="FQ1275" s="420"/>
      <c r="FR1275" s="420"/>
      <c r="FS1275" s="420"/>
      <c r="FT1275" s="420"/>
      <c r="FU1275" s="420"/>
      <c r="FV1275" s="420"/>
      <c r="FW1275" s="420"/>
      <c r="FX1275" s="420"/>
      <c r="FY1275" s="420"/>
      <c r="IV1275" s="420"/>
    </row>
    <row r="1276" spans="1:256" s="421" customFormat="1" ht="25.5">
      <c r="A1276" s="918" t="s">
        <v>918</v>
      </c>
      <c r="B1276" s="927" t="s">
        <v>919</v>
      </c>
      <c r="C1276" s="920" t="s">
        <v>47</v>
      </c>
      <c r="D1276" s="921">
        <v>5</v>
      </c>
      <c r="E1276" s="922"/>
      <c r="F1276" s="380">
        <f t="shared" si="43"/>
        <v>0</v>
      </c>
      <c r="G1276" s="420"/>
      <c r="H1276" s="420"/>
      <c r="I1276" s="420"/>
      <c r="J1276" s="420"/>
      <c r="K1276" s="420"/>
      <c r="L1276" s="420"/>
      <c r="M1276" s="420"/>
      <c r="N1276" s="640">
        <f t="shared" si="44"/>
        <v>0</v>
      </c>
      <c r="O1276" s="640">
        <f t="shared" si="45"/>
        <v>0</v>
      </c>
      <c r="P1276" s="420"/>
      <c r="Q1276" s="420"/>
      <c r="R1276" s="420"/>
      <c r="S1276" s="420"/>
      <c r="T1276" s="420"/>
      <c r="U1276" s="420"/>
      <c r="V1276" s="420"/>
      <c r="W1276" s="420"/>
      <c r="X1276" s="420"/>
      <c r="Y1276" s="420"/>
      <c r="Z1276" s="420"/>
      <c r="AA1276" s="420"/>
      <c r="AB1276" s="420"/>
      <c r="AC1276" s="420"/>
      <c r="AD1276" s="420"/>
      <c r="AE1276" s="420"/>
      <c r="AF1276" s="420"/>
      <c r="AG1276" s="420"/>
      <c r="AH1276" s="420"/>
      <c r="AI1276" s="420"/>
      <c r="AJ1276" s="420"/>
      <c r="AK1276" s="420"/>
      <c r="AL1276" s="420"/>
      <c r="AM1276" s="420"/>
      <c r="AN1276" s="420"/>
      <c r="AO1276" s="420"/>
      <c r="AP1276" s="420"/>
      <c r="AQ1276" s="420"/>
      <c r="AR1276" s="420"/>
      <c r="AS1276" s="420"/>
      <c r="AT1276" s="420"/>
      <c r="AU1276" s="420"/>
      <c r="AV1276" s="420"/>
      <c r="AW1276" s="420"/>
      <c r="AX1276" s="420"/>
      <c r="AY1276" s="420"/>
      <c r="AZ1276" s="420"/>
      <c r="BA1276" s="420"/>
      <c r="BB1276" s="420"/>
      <c r="BC1276" s="420"/>
      <c r="BD1276" s="420"/>
      <c r="BE1276" s="420"/>
      <c r="BF1276" s="420"/>
      <c r="BG1276" s="420"/>
      <c r="BH1276" s="420"/>
      <c r="BI1276" s="420"/>
      <c r="BJ1276" s="420"/>
      <c r="BK1276" s="420"/>
      <c r="BL1276" s="420"/>
      <c r="BM1276" s="420"/>
      <c r="BN1276" s="420"/>
      <c r="BO1276" s="420"/>
      <c r="BP1276" s="420"/>
      <c r="BQ1276" s="420"/>
      <c r="BR1276" s="420"/>
      <c r="BS1276" s="420"/>
      <c r="BT1276" s="420"/>
      <c r="BU1276" s="420"/>
      <c r="BV1276" s="420"/>
      <c r="BW1276" s="420"/>
      <c r="BX1276" s="420"/>
      <c r="BY1276" s="420"/>
      <c r="BZ1276" s="420"/>
      <c r="CA1276" s="420"/>
      <c r="CB1276" s="420"/>
      <c r="CC1276" s="420"/>
      <c r="CD1276" s="420"/>
      <c r="CE1276" s="420"/>
      <c r="CF1276" s="420"/>
      <c r="CG1276" s="420"/>
      <c r="CH1276" s="420"/>
      <c r="CI1276" s="420"/>
      <c r="CJ1276" s="420"/>
      <c r="CK1276" s="420"/>
      <c r="CL1276" s="420"/>
      <c r="CM1276" s="420"/>
      <c r="CN1276" s="420"/>
      <c r="CO1276" s="420"/>
      <c r="CP1276" s="420"/>
      <c r="CQ1276" s="420"/>
      <c r="CR1276" s="420"/>
      <c r="CS1276" s="420"/>
      <c r="CT1276" s="420"/>
      <c r="CU1276" s="420"/>
      <c r="CV1276" s="420"/>
      <c r="CW1276" s="420"/>
      <c r="CX1276" s="420"/>
      <c r="CY1276" s="420"/>
      <c r="CZ1276" s="420"/>
      <c r="DA1276" s="420"/>
      <c r="DB1276" s="420"/>
      <c r="DC1276" s="420"/>
      <c r="DD1276" s="420"/>
      <c r="DE1276" s="420"/>
      <c r="DF1276" s="420"/>
      <c r="DG1276" s="420"/>
      <c r="DH1276" s="420"/>
      <c r="DI1276" s="420"/>
      <c r="DJ1276" s="420"/>
      <c r="DK1276" s="420"/>
      <c r="DL1276" s="420"/>
      <c r="DM1276" s="420"/>
      <c r="DN1276" s="420"/>
      <c r="DO1276" s="420"/>
      <c r="DP1276" s="420"/>
      <c r="DQ1276" s="420"/>
      <c r="DR1276" s="420"/>
      <c r="DS1276" s="420"/>
      <c r="DT1276" s="420"/>
      <c r="DU1276" s="420"/>
      <c r="DV1276" s="420"/>
      <c r="DW1276" s="420"/>
      <c r="DX1276" s="420"/>
      <c r="DY1276" s="420"/>
      <c r="DZ1276" s="420"/>
      <c r="EA1276" s="420"/>
      <c r="EB1276" s="420"/>
      <c r="EC1276" s="420"/>
      <c r="ED1276" s="420"/>
      <c r="EE1276" s="420"/>
      <c r="EF1276" s="420"/>
      <c r="EG1276" s="420"/>
      <c r="EH1276" s="420"/>
      <c r="EI1276" s="420"/>
      <c r="EJ1276" s="420"/>
      <c r="EK1276" s="420"/>
      <c r="EL1276" s="420"/>
      <c r="EM1276" s="420"/>
      <c r="EN1276" s="420"/>
      <c r="EO1276" s="420"/>
      <c r="EP1276" s="420"/>
      <c r="EQ1276" s="420"/>
      <c r="ER1276" s="420"/>
      <c r="ES1276" s="420"/>
      <c r="ET1276" s="420"/>
      <c r="EU1276" s="420"/>
      <c r="EV1276" s="420"/>
      <c r="EW1276" s="420"/>
      <c r="EX1276" s="420"/>
      <c r="EY1276" s="420"/>
      <c r="EZ1276" s="420"/>
      <c r="FA1276" s="420"/>
      <c r="FB1276" s="420"/>
      <c r="FC1276" s="420"/>
      <c r="FD1276" s="420"/>
      <c r="FE1276" s="420"/>
      <c r="FF1276" s="420"/>
      <c r="FG1276" s="420"/>
      <c r="FH1276" s="420"/>
      <c r="FI1276" s="420"/>
      <c r="FJ1276" s="420"/>
      <c r="FK1276" s="420"/>
      <c r="FL1276" s="420"/>
      <c r="FM1276" s="420"/>
      <c r="FN1276" s="420"/>
      <c r="FO1276" s="420"/>
      <c r="FP1276" s="420"/>
      <c r="FQ1276" s="420"/>
      <c r="FR1276" s="420"/>
      <c r="FS1276" s="420"/>
      <c r="FT1276" s="420"/>
      <c r="FU1276" s="420"/>
      <c r="FV1276" s="420"/>
      <c r="FW1276" s="420"/>
      <c r="FX1276" s="420"/>
      <c r="FY1276" s="420"/>
      <c r="IV1276" s="420"/>
    </row>
    <row r="1277" spans="1:256" s="421" customFormat="1" ht="38.25">
      <c r="A1277" s="918" t="s">
        <v>920</v>
      </c>
      <c r="B1277" s="927" t="s">
        <v>921</v>
      </c>
      <c r="C1277" s="920" t="s">
        <v>47</v>
      </c>
      <c r="D1277" s="921">
        <v>1</v>
      </c>
      <c r="E1277" s="922"/>
      <c r="F1277" s="380">
        <f t="shared" si="43"/>
        <v>0</v>
      </c>
      <c r="G1277" s="420"/>
      <c r="H1277" s="420"/>
      <c r="I1277" s="420"/>
      <c r="J1277" s="420"/>
      <c r="K1277" s="420"/>
      <c r="L1277" s="420"/>
      <c r="M1277" s="420"/>
      <c r="N1277" s="640">
        <f t="shared" si="44"/>
        <v>0</v>
      </c>
      <c r="O1277" s="640">
        <f t="shared" si="45"/>
        <v>0</v>
      </c>
      <c r="P1277" s="420"/>
      <c r="Q1277" s="420"/>
      <c r="R1277" s="420"/>
      <c r="S1277" s="420"/>
      <c r="T1277" s="420"/>
      <c r="U1277" s="420"/>
      <c r="V1277" s="420"/>
      <c r="W1277" s="420"/>
      <c r="X1277" s="420"/>
      <c r="Y1277" s="420"/>
      <c r="Z1277" s="420"/>
      <c r="AA1277" s="420"/>
      <c r="AB1277" s="420"/>
      <c r="AC1277" s="420"/>
      <c r="AD1277" s="420"/>
      <c r="AE1277" s="420"/>
      <c r="AF1277" s="420"/>
      <c r="AG1277" s="420"/>
      <c r="AH1277" s="420"/>
      <c r="AI1277" s="420"/>
      <c r="AJ1277" s="420"/>
      <c r="AK1277" s="420"/>
      <c r="AL1277" s="420"/>
      <c r="AM1277" s="420"/>
      <c r="AN1277" s="420"/>
      <c r="AO1277" s="420"/>
      <c r="AP1277" s="420"/>
      <c r="AQ1277" s="420"/>
      <c r="AR1277" s="420"/>
      <c r="AS1277" s="420"/>
      <c r="AT1277" s="420"/>
      <c r="AU1277" s="420"/>
      <c r="AV1277" s="420"/>
      <c r="AW1277" s="420"/>
      <c r="AX1277" s="420"/>
      <c r="AY1277" s="420"/>
      <c r="AZ1277" s="420"/>
      <c r="BA1277" s="420"/>
      <c r="BB1277" s="420"/>
      <c r="BC1277" s="420"/>
      <c r="BD1277" s="420"/>
      <c r="BE1277" s="420"/>
      <c r="BF1277" s="420"/>
      <c r="BG1277" s="420"/>
      <c r="BH1277" s="420"/>
      <c r="BI1277" s="420"/>
      <c r="BJ1277" s="420"/>
      <c r="BK1277" s="420"/>
      <c r="BL1277" s="420"/>
      <c r="BM1277" s="420"/>
      <c r="BN1277" s="420"/>
      <c r="BO1277" s="420"/>
      <c r="BP1277" s="420"/>
      <c r="BQ1277" s="420"/>
      <c r="BR1277" s="420"/>
      <c r="BS1277" s="420"/>
      <c r="BT1277" s="420"/>
      <c r="BU1277" s="420"/>
      <c r="BV1277" s="420"/>
      <c r="BW1277" s="420"/>
      <c r="BX1277" s="420"/>
      <c r="BY1277" s="420"/>
      <c r="BZ1277" s="420"/>
      <c r="CA1277" s="420"/>
      <c r="CB1277" s="420"/>
      <c r="CC1277" s="420"/>
      <c r="CD1277" s="420"/>
      <c r="CE1277" s="420"/>
      <c r="CF1277" s="420"/>
      <c r="CG1277" s="420"/>
      <c r="CH1277" s="420"/>
      <c r="CI1277" s="420"/>
      <c r="CJ1277" s="420"/>
      <c r="CK1277" s="420"/>
      <c r="CL1277" s="420"/>
      <c r="CM1277" s="420"/>
      <c r="CN1277" s="420"/>
      <c r="CO1277" s="420"/>
      <c r="CP1277" s="420"/>
      <c r="CQ1277" s="420"/>
      <c r="CR1277" s="420"/>
      <c r="CS1277" s="420"/>
      <c r="CT1277" s="420"/>
      <c r="CU1277" s="420"/>
      <c r="CV1277" s="420"/>
      <c r="CW1277" s="420"/>
      <c r="CX1277" s="420"/>
      <c r="CY1277" s="420"/>
      <c r="CZ1277" s="420"/>
      <c r="DA1277" s="420"/>
      <c r="DB1277" s="420"/>
      <c r="DC1277" s="420"/>
      <c r="DD1277" s="420"/>
      <c r="DE1277" s="420"/>
      <c r="DF1277" s="420"/>
      <c r="DG1277" s="420"/>
      <c r="DH1277" s="420"/>
      <c r="DI1277" s="420"/>
      <c r="DJ1277" s="420"/>
      <c r="DK1277" s="420"/>
      <c r="DL1277" s="420"/>
      <c r="DM1277" s="420"/>
      <c r="DN1277" s="420"/>
      <c r="DO1277" s="420"/>
      <c r="DP1277" s="420"/>
      <c r="DQ1277" s="420"/>
      <c r="DR1277" s="420"/>
      <c r="DS1277" s="420"/>
      <c r="DT1277" s="420"/>
      <c r="DU1277" s="420"/>
      <c r="DV1277" s="420"/>
      <c r="DW1277" s="420"/>
      <c r="DX1277" s="420"/>
      <c r="DY1277" s="420"/>
      <c r="DZ1277" s="420"/>
      <c r="EA1277" s="420"/>
      <c r="EB1277" s="420"/>
      <c r="EC1277" s="420"/>
      <c r="ED1277" s="420"/>
      <c r="EE1277" s="420"/>
      <c r="EF1277" s="420"/>
      <c r="EG1277" s="420"/>
      <c r="EH1277" s="420"/>
      <c r="EI1277" s="420"/>
      <c r="EJ1277" s="420"/>
      <c r="EK1277" s="420"/>
      <c r="EL1277" s="420"/>
      <c r="EM1277" s="420"/>
      <c r="EN1277" s="420"/>
      <c r="EO1277" s="420"/>
      <c r="EP1277" s="420"/>
      <c r="EQ1277" s="420"/>
      <c r="ER1277" s="420"/>
      <c r="ES1277" s="420"/>
      <c r="ET1277" s="420"/>
      <c r="EU1277" s="420"/>
      <c r="EV1277" s="420"/>
      <c r="EW1277" s="420"/>
      <c r="EX1277" s="420"/>
      <c r="EY1277" s="420"/>
      <c r="EZ1277" s="420"/>
      <c r="FA1277" s="420"/>
      <c r="FB1277" s="420"/>
      <c r="FC1277" s="420"/>
      <c r="FD1277" s="420"/>
      <c r="FE1277" s="420"/>
      <c r="FF1277" s="420"/>
      <c r="FG1277" s="420"/>
      <c r="FH1277" s="420"/>
      <c r="FI1277" s="420"/>
      <c r="FJ1277" s="420"/>
      <c r="FK1277" s="420"/>
      <c r="FL1277" s="420"/>
      <c r="FM1277" s="420"/>
      <c r="FN1277" s="420"/>
      <c r="FO1277" s="420"/>
      <c r="FP1277" s="420"/>
      <c r="FQ1277" s="420"/>
      <c r="FR1277" s="420"/>
      <c r="FS1277" s="420"/>
      <c r="FT1277" s="420"/>
      <c r="FU1277" s="420"/>
      <c r="FV1277" s="420"/>
      <c r="FW1277" s="420"/>
      <c r="FX1277" s="420"/>
      <c r="FY1277" s="420"/>
      <c r="IV1277" s="420"/>
    </row>
    <row r="1278" spans="1:256" s="421" customFormat="1" ht="12.75">
      <c r="A1278" s="954"/>
      <c r="B1278" s="955" t="s">
        <v>922</v>
      </c>
      <c r="C1278" s="956"/>
      <c r="D1278" s="956"/>
      <c r="E1278" s="956"/>
      <c r="F1278" s="958"/>
      <c r="G1278" s="420"/>
      <c r="H1278" s="420"/>
      <c r="I1278" s="420"/>
      <c r="J1278" s="420"/>
      <c r="K1278" s="420"/>
      <c r="L1278" s="420"/>
      <c r="M1278" s="420"/>
      <c r="N1278" s="646"/>
      <c r="O1278" s="646"/>
      <c r="P1278" s="420"/>
      <c r="Q1278" s="420"/>
      <c r="R1278" s="420"/>
      <c r="S1278" s="420"/>
      <c r="T1278" s="420"/>
      <c r="U1278" s="420"/>
      <c r="V1278" s="420"/>
      <c r="W1278" s="420"/>
      <c r="X1278" s="420"/>
      <c r="Y1278" s="420"/>
      <c r="Z1278" s="420"/>
      <c r="AA1278" s="420"/>
      <c r="AB1278" s="420"/>
      <c r="AC1278" s="420"/>
      <c r="AD1278" s="420"/>
      <c r="AE1278" s="420"/>
      <c r="AF1278" s="420"/>
      <c r="AG1278" s="420"/>
      <c r="AH1278" s="420"/>
      <c r="AI1278" s="420"/>
      <c r="AJ1278" s="420"/>
      <c r="AK1278" s="420"/>
      <c r="AL1278" s="420"/>
      <c r="AM1278" s="420"/>
      <c r="AN1278" s="420"/>
      <c r="AO1278" s="420"/>
      <c r="AP1278" s="420"/>
      <c r="AQ1278" s="420"/>
      <c r="AR1278" s="420"/>
      <c r="AS1278" s="420"/>
      <c r="AT1278" s="420"/>
      <c r="AU1278" s="420"/>
      <c r="AV1278" s="420"/>
      <c r="AW1278" s="420"/>
      <c r="AX1278" s="420"/>
      <c r="AY1278" s="420"/>
      <c r="AZ1278" s="420"/>
      <c r="BA1278" s="420"/>
      <c r="BB1278" s="420"/>
      <c r="BC1278" s="420"/>
      <c r="BD1278" s="420"/>
      <c r="BE1278" s="420"/>
      <c r="BF1278" s="420"/>
      <c r="BG1278" s="420"/>
      <c r="BH1278" s="420"/>
      <c r="BI1278" s="420"/>
      <c r="BJ1278" s="420"/>
      <c r="BK1278" s="420"/>
      <c r="BL1278" s="420"/>
      <c r="BM1278" s="420"/>
      <c r="BN1278" s="420"/>
      <c r="BO1278" s="420"/>
      <c r="BP1278" s="420"/>
      <c r="BQ1278" s="420"/>
      <c r="BR1278" s="420"/>
      <c r="BS1278" s="420"/>
      <c r="BT1278" s="420"/>
      <c r="BU1278" s="420"/>
      <c r="BV1278" s="420"/>
      <c r="BW1278" s="420"/>
      <c r="BX1278" s="420"/>
      <c r="BY1278" s="420"/>
      <c r="BZ1278" s="420"/>
      <c r="CA1278" s="420"/>
      <c r="CB1278" s="420"/>
      <c r="CC1278" s="420"/>
      <c r="CD1278" s="420"/>
      <c r="CE1278" s="420"/>
      <c r="CF1278" s="420"/>
      <c r="CG1278" s="420"/>
      <c r="CH1278" s="420"/>
      <c r="CI1278" s="420"/>
      <c r="CJ1278" s="420"/>
      <c r="CK1278" s="420"/>
      <c r="CL1278" s="420"/>
      <c r="CM1278" s="420"/>
      <c r="CN1278" s="420"/>
      <c r="CO1278" s="420"/>
      <c r="CP1278" s="420"/>
      <c r="CQ1278" s="420"/>
      <c r="CR1278" s="420"/>
      <c r="CS1278" s="420"/>
      <c r="CT1278" s="420"/>
      <c r="CU1278" s="420"/>
      <c r="CV1278" s="420"/>
      <c r="CW1278" s="420"/>
      <c r="CX1278" s="420"/>
      <c r="CY1278" s="420"/>
      <c r="CZ1278" s="420"/>
      <c r="DA1278" s="420"/>
      <c r="DB1278" s="420"/>
      <c r="DC1278" s="420"/>
      <c r="DD1278" s="420"/>
      <c r="DE1278" s="420"/>
      <c r="DF1278" s="420"/>
      <c r="DG1278" s="420"/>
      <c r="DH1278" s="420"/>
      <c r="DI1278" s="420"/>
      <c r="DJ1278" s="420"/>
      <c r="DK1278" s="420"/>
      <c r="DL1278" s="420"/>
      <c r="DM1278" s="420"/>
      <c r="DN1278" s="420"/>
      <c r="DO1278" s="420"/>
      <c r="DP1278" s="420"/>
      <c r="DQ1278" s="420"/>
      <c r="DR1278" s="420"/>
      <c r="DS1278" s="420"/>
      <c r="DT1278" s="420"/>
      <c r="DU1278" s="420"/>
      <c r="DV1278" s="420"/>
      <c r="DW1278" s="420"/>
      <c r="DX1278" s="420"/>
      <c r="DY1278" s="420"/>
      <c r="DZ1278" s="420"/>
      <c r="EA1278" s="420"/>
      <c r="EB1278" s="420"/>
      <c r="EC1278" s="420"/>
      <c r="ED1278" s="420"/>
      <c r="EE1278" s="420"/>
      <c r="EF1278" s="420"/>
      <c r="EG1278" s="420"/>
      <c r="EH1278" s="420"/>
      <c r="EI1278" s="420"/>
      <c r="EJ1278" s="420"/>
      <c r="EK1278" s="420"/>
      <c r="EL1278" s="420"/>
      <c r="EM1278" s="420"/>
      <c r="EN1278" s="420"/>
      <c r="EO1278" s="420"/>
      <c r="EP1278" s="420"/>
      <c r="EQ1278" s="420"/>
      <c r="ER1278" s="420"/>
      <c r="ES1278" s="420"/>
      <c r="ET1278" s="420"/>
      <c r="EU1278" s="420"/>
      <c r="EV1278" s="420"/>
      <c r="EW1278" s="420"/>
      <c r="EX1278" s="420"/>
      <c r="EY1278" s="420"/>
      <c r="EZ1278" s="420"/>
      <c r="FA1278" s="420"/>
      <c r="FB1278" s="420"/>
      <c r="FC1278" s="420"/>
      <c r="FD1278" s="420"/>
      <c r="FE1278" s="420"/>
      <c r="FF1278" s="420"/>
      <c r="FG1278" s="420"/>
      <c r="FH1278" s="420"/>
      <c r="FI1278" s="420"/>
      <c r="FJ1278" s="420"/>
      <c r="FK1278" s="420"/>
      <c r="FL1278" s="420"/>
      <c r="FM1278" s="420"/>
      <c r="FN1278" s="420"/>
      <c r="FO1278" s="420"/>
      <c r="FP1278" s="420"/>
      <c r="FQ1278" s="420"/>
      <c r="FR1278" s="420"/>
      <c r="FS1278" s="420"/>
      <c r="FT1278" s="420"/>
      <c r="FU1278" s="420"/>
      <c r="FV1278" s="420"/>
      <c r="FW1278" s="420"/>
      <c r="FX1278" s="420"/>
      <c r="FY1278" s="420"/>
      <c r="IV1278" s="420"/>
    </row>
    <row r="1279" spans="1:256" s="431" customFormat="1" ht="38.25">
      <c r="A1279" s="918" t="s">
        <v>923</v>
      </c>
      <c r="B1279" s="919" t="s">
        <v>924</v>
      </c>
      <c r="C1279" s="920" t="s">
        <v>350</v>
      </c>
      <c r="D1279" s="921">
        <v>1100</v>
      </c>
      <c r="E1279" s="922"/>
      <c r="F1279" s="380">
        <f aca="true" t="shared" si="46" ref="F1279:F1284">D1279*E1279</f>
        <v>0</v>
      </c>
      <c r="N1279" s="640">
        <f aca="true" t="shared" si="47" ref="N1279:N1290">E1279*1.2</f>
        <v>0</v>
      </c>
      <c r="O1279" s="640">
        <f aca="true" t="shared" si="48" ref="O1279:O1284">N1279*D1279</f>
        <v>0</v>
      </c>
      <c r="FZ1279" s="432"/>
      <c r="GA1279" s="432"/>
      <c r="GB1279" s="432"/>
      <c r="GC1279" s="432"/>
      <c r="GD1279" s="432"/>
      <c r="GE1279" s="432"/>
      <c r="GF1279" s="432"/>
      <c r="GG1279" s="432"/>
      <c r="GH1279" s="432"/>
      <c r="GI1279" s="432"/>
      <c r="GJ1279" s="432"/>
      <c r="GK1279" s="432"/>
      <c r="GL1279" s="432"/>
      <c r="GM1279" s="432"/>
      <c r="GN1279" s="432"/>
      <c r="GO1279" s="432"/>
      <c r="GP1279" s="432"/>
      <c r="GQ1279" s="432"/>
      <c r="GR1279" s="432"/>
      <c r="GS1279" s="432"/>
      <c r="GT1279" s="432"/>
      <c r="GU1279" s="432"/>
      <c r="GV1279" s="432"/>
      <c r="GW1279" s="432"/>
      <c r="GX1279" s="432"/>
      <c r="GY1279" s="432"/>
      <c r="GZ1279" s="432"/>
      <c r="HA1279" s="432"/>
      <c r="HB1279" s="432"/>
      <c r="HC1279" s="432"/>
      <c r="HD1279" s="432"/>
      <c r="HE1279" s="432"/>
      <c r="HF1279" s="432"/>
      <c r="HG1279" s="432"/>
      <c r="HH1279" s="432"/>
      <c r="HI1279" s="432"/>
      <c r="HJ1279" s="432"/>
      <c r="HK1279" s="432"/>
      <c r="HL1279" s="432"/>
      <c r="HM1279" s="432"/>
      <c r="HN1279" s="432"/>
      <c r="HO1279" s="432"/>
      <c r="HP1279" s="432"/>
      <c r="HQ1279" s="432"/>
      <c r="HR1279" s="432"/>
      <c r="HS1279" s="432"/>
      <c r="HT1279" s="432"/>
      <c r="HU1279" s="432"/>
      <c r="HV1279" s="432"/>
      <c r="HW1279" s="432"/>
      <c r="HX1279" s="432"/>
      <c r="HY1279" s="432"/>
      <c r="HZ1279" s="432"/>
      <c r="IA1279" s="432"/>
      <c r="IB1279" s="432"/>
      <c r="IC1279" s="432"/>
      <c r="ID1279" s="432"/>
      <c r="IE1279" s="432"/>
      <c r="IF1279" s="432"/>
      <c r="IG1279" s="432"/>
      <c r="IH1279" s="432"/>
      <c r="II1279" s="432"/>
      <c r="IJ1279" s="432"/>
      <c r="IK1279" s="432"/>
      <c r="IL1279" s="432"/>
      <c r="IM1279" s="432"/>
      <c r="IN1279" s="432"/>
      <c r="IO1279" s="432"/>
      <c r="IP1279" s="432"/>
      <c r="IQ1279" s="432"/>
      <c r="IR1279" s="432"/>
      <c r="IS1279" s="432"/>
      <c r="IT1279" s="432"/>
      <c r="IU1279" s="432"/>
      <c r="IV1279" s="432"/>
    </row>
    <row r="1280" spans="1:181" s="421" customFormat="1" ht="12.75">
      <c r="A1280" s="918" t="s">
        <v>925</v>
      </c>
      <c r="B1280" s="927" t="s">
        <v>926</v>
      </c>
      <c r="C1280" s="920" t="s">
        <v>350</v>
      </c>
      <c r="D1280" s="921">
        <v>20</v>
      </c>
      <c r="E1280" s="922"/>
      <c r="F1280" s="380">
        <f t="shared" si="46"/>
        <v>0</v>
      </c>
      <c r="G1280" s="420"/>
      <c r="H1280" s="420"/>
      <c r="I1280" s="420"/>
      <c r="J1280" s="420"/>
      <c r="K1280" s="420"/>
      <c r="L1280" s="420"/>
      <c r="M1280" s="420"/>
      <c r="N1280" s="640">
        <f t="shared" si="47"/>
        <v>0</v>
      </c>
      <c r="O1280" s="640">
        <f t="shared" si="48"/>
        <v>0</v>
      </c>
      <c r="P1280" s="420"/>
      <c r="Q1280" s="420"/>
      <c r="R1280" s="420"/>
      <c r="S1280" s="420"/>
      <c r="T1280" s="420"/>
      <c r="U1280" s="420"/>
      <c r="V1280" s="420"/>
      <c r="W1280" s="420"/>
      <c r="X1280" s="420"/>
      <c r="Y1280" s="420"/>
      <c r="Z1280" s="420"/>
      <c r="AA1280" s="420"/>
      <c r="AB1280" s="420"/>
      <c r="AC1280" s="420"/>
      <c r="AD1280" s="420"/>
      <c r="AE1280" s="420"/>
      <c r="AF1280" s="420"/>
      <c r="AG1280" s="420"/>
      <c r="AH1280" s="420"/>
      <c r="AI1280" s="420"/>
      <c r="AJ1280" s="420"/>
      <c r="AK1280" s="420"/>
      <c r="AL1280" s="420"/>
      <c r="AM1280" s="420"/>
      <c r="AN1280" s="420"/>
      <c r="AO1280" s="420"/>
      <c r="AP1280" s="420"/>
      <c r="AQ1280" s="420"/>
      <c r="AR1280" s="420"/>
      <c r="AS1280" s="420"/>
      <c r="AT1280" s="420"/>
      <c r="AU1280" s="420"/>
      <c r="AV1280" s="420"/>
      <c r="AW1280" s="420"/>
      <c r="AX1280" s="420"/>
      <c r="AY1280" s="420"/>
      <c r="AZ1280" s="420"/>
      <c r="BA1280" s="420"/>
      <c r="BB1280" s="420"/>
      <c r="BC1280" s="420"/>
      <c r="BD1280" s="420"/>
      <c r="BE1280" s="420"/>
      <c r="BF1280" s="420"/>
      <c r="BG1280" s="420"/>
      <c r="BH1280" s="420"/>
      <c r="BI1280" s="420"/>
      <c r="BJ1280" s="420"/>
      <c r="BK1280" s="420"/>
      <c r="BL1280" s="420"/>
      <c r="BM1280" s="420"/>
      <c r="BN1280" s="420"/>
      <c r="BO1280" s="420"/>
      <c r="BP1280" s="420"/>
      <c r="BQ1280" s="420"/>
      <c r="BR1280" s="420"/>
      <c r="BS1280" s="420"/>
      <c r="BT1280" s="420"/>
      <c r="BU1280" s="420"/>
      <c r="BV1280" s="420"/>
      <c r="BW1280" s="420"/>
      <c r="BX1280" s="420"/>
      <c r="BY1280" s="420"/>
      <c r="BZ1280" s="420"/>
      <c r="CA1280" s="420"/>
      <c r="CB1280" s="420"/>
      <c r="CC1280" s="420"/>
      <c r="CD1280" s="420"/>
      <c r="CE1280" s="420"/>
      <c r="CF1280" s="420"/>
      <c r="CG1280" s="420"/>
      <c r="CH1280" s="420"/>
      <c r="CI1280" s="420"/>
      <c r="CJ1280" s="420"/>
      <c r="CK1280" s="420"/>
      <c r="CL1280" s="420"/>
      <c r="CM1280" s="420"/>
      <c r="CN1280" s="420"/>
      <c r="CO1280" s="420"/>
      <c r="CP1280" s="420"/>
      <c r="CQ1280" s="420"/>
      <c r="CR1280" s="420"/>
      <c r="CS1280" s="420"/>
      <c r="CT1280" s="420"/>
      <c r="CU1280" s="420"/>
      <c r="CV1280" s="420"/>
      <c r="CW1280" s="420"/>
      <c r="CX1280" s="420"/>
      <c r="CY1280" s="420"/>
      <c r="CZ1280" s="420"/>
      <c r="DA1280" s="420"/>
      <c r="DB1280" s="420"/>
      <c r="DC1280" s="420"/>
      <c r="DD1280" s="420"/>
      <c r="DE1280" s="420"/>
      <c r="DF1280" s="420"/>
      <c r="DG1280" s="420"/>
      <c r="DH1280" s="420"/>
      <c r="DI1280" s="420"/>
      <c r="DJ1280" s="420"/>
      <c r="DK1280" s="420"/>
      <c r="DL1280" s="420"/>
      <c r="DM1280" s="420"/>
      <c r="DN1280" s="420"/>
      <c r="DO1280" s="420"/>
      <c r="DP1280" s="420"/>
      <c r="DQ1280" s="420"/>
      <c r="DR1280" s="420"/>
      <c r="DS1280" s="420"/>
      <c r="DT1280" s="420"/>
      <c r="DU1280" s="420"/>
      <c r="DV1280" s="420"/>
      <c r="DW1280" s="420"/>
      <c r="DX1280" s="420"/>
      <c r="DY1280" s="420"/>
      <c r="DZ1280" s="420"/>
      <c r="EA1280" s="420"/>
      <c r="EB1280" s="420"/>
      <c r="EC1280" s="420"/>
      <c r="ED1280" s="420"/>
      <c r="EE1280" s="420"/>
      <c r="EF1280" s="420"/>
      <c r="EG1280" s="420"/>
      <c r="EH1280" s="420"/>
      <c r="EI1280" s="420"/>
      <c r="EJ1280" s="420"/>
      <c r="EK1280" s="420"/>
      <c r="EL1280" s="420"/>
      <c r="EM1280" s="420"/>
      <c r="EN1280" s="420"/>
      <c r="EO1280" s="420"/>
      <c r="EP1280" s="420"/>
      <c r="EQ1280" s="420"/>
      <c r="ER1280" s="420"/>
      <c r="ES1280" s="420"/>
      <c r="ET1280" s="420"/>
      <c r="EU1280" s="420"/>
      <c r="EV1280" s="420"/>
      <c r="EW1280" s="420"/>
      <c r="EX1280" s="420"/>
      <c r="EY1280" s="420"/>
      <c r="EZ1280" s="420"/>
      <c r="FA1280" s="420"/>
      <c r="FB1280" s="420"/>
      <c r="FC1280" s="420"/>
      <c r="FD1280" s="420"/>
      <c r="FE1280" s="420"/>
      <c r="FF1280" s="420"/>
      <c r="FG1280" s="420"/>
      <c r="FH1280" s="420"/>
      <c r="FI1280" s="420"/>
      <c r="FJ1280" s="420"/>
      <c r="FK1280" s="420"/>
      <c r="FL1280" s="420"/>
      <c r="FM1280" s="420"/>
      <c r="FN1280" s="420"/>
      <c r="FO1280" s="420"/>
      <c r="FP1280" s="420"/>
      <c r="FQ1280" s="420"/>
      <c r="FR1280" s="420"/>
      <c r="FS1280" s="420"/>
      <c r="FT1280" s="420"/>
      <c r="FU1280" s="420"/>
      <c r="FV1280" s="420"/>
      <c r="FW1280" s="420"/>
      <c r="FX1280" s="420"/>
      <c r="FY1280" s="420"/>
    </row>
    <row r="1281" spans="1:181" s="421" customFormat="1" ht="51">
      <c r="A1281" s="918" t="s">
        <v>927</v>
      </c>
      <c r="B1281" s="927" t="s">
        <v>928</v>
      </c>
      <c r="C1281" s="920" t="s">
        <v>350</v>
      </c>
      <c r="D1281" s="921">
        <v>3400</v>
      </c>
      <c r="E1281" s="922"/>
      <c r="F1281" s="380">
        <f t="shared" si="46"/>
        <v>0</v>
      </c>
      <c r="G1281" s="420"/>
      <c r="H1281" s="420"/>
      <c r="I1281" s="420"/>
      <c r="J1281" s="420"/>
      <c r="K1281" s="420"/>
      <c r="L1281" s="420"/>
      <c r="M1281" s="420"/>
      <c r="N1281" s="640">
        <f t="shared" si="47"/>
        <v>0</v>
      </c>
      <c r="O1281" s="640">
        <f t="shared" si="48"/>
        <v>0</v>
      </c>
      <c r="P1281" s="420"/>
      <c r="Q1281" s="420"/>
      <c r="R1281" s="420"/>
      <c r="S1281" s="420"/>
      <c r="T1281" s="420"/>
      <c r="U1281" s="420"/>
      <c r="V1281" s="420"/>
      <c r="W1281" s="420"/>
      <c r="X1281" s="420"/>
      <c r="Y1281" s="420"/>
      <c r="Z1281" s="420"/>
      <c r="AA1281" s="420"/>
      <c r="AB1281" s="420"/>
      <c r="AC1281" s="420"/>
      <c r="AD1281" s="420"/>
      <c r="AE1281" s="420"/>
      <c r="AF1281" s="420"/>
      <c r="AG1281" s="420"/>
      <c r="AH1281" s="420"/>
      <c r="AI1281" s="420"/>
      <c r="AJ1281" s="420"/>
      <c r="AK1281" s="420"/>
      <c r="AL1281" s="420"/>
      <c r="AM1281" s="420"/>
      <c r="AN1281" s="420"/>
      <c r="AO1281" s="420"/>
      <c r="AP1281" s="420"/>
      <c r="AQ1281" s="420"/>
      <c r="AR1281" s="420"/>
      <c r="AS1281" s="420"/>
      <c r="AT1281" s="420"/>
      <c r="AU1281" s="420"/>
      <c r="AV1281" s="420"/>
      <c r="AW1281" s="420"/>
      <c r="AX1281" s="420"/>
      <c r="AY1281" s="420"/>
      <c r="AZ1281" s="420"/>
      <c r="BA1281" s="420"/>
      <c r="BB1281" s="420"/>
      <c r="BC1281" s="420"/>
      <c r="BD1281" s="420"/>
      <c r="BE1281" s="420"/>
      <c r="BF1281" s="420"/>
      <c r="BG1281" s="420"/>
      <c r="BH1281" s="420"/>
      <c r="BI1281" s="420"/>
      <c r="BJ1281" s="420"/>
      <c r="BK1281" s="420"/>
      <c r="BL1281" s="420"/>
      <c r="BM1281" s="420"/>
      <c r="BN1281" s="420"/>
      <c r="BO1281" s="420"/>
      <c r="BP1281" s="420"/>
      <c r="BQ1281" s="420"/>
      <c r="BR1281" s="420"/>
      <c r="BS1281" s="420"/>
      <c r="BT1281" s="420"/>
      <c r="BU1281" s="420"/>
      <c r="BV1281" s="420"/>
      <c r="BW1281" s="420"/>
      <c r="BX1281" s="420"/>
      <c r="BY1281" s="420"/>
      <c r="BZ1281" s="420"/>
      <c r="CA1281" s="420"/>
      <c r="CB1281" s="420"/>
      <c r="CC1281" s="420"/>
      <c r="CD1281" s="420"/>
      <c r="CE1281" s="420"/>
      <c r="CF1281" s="420"/>
      <c r="CG1281" s="420"/>
      <c r="CH1281" s="420"/>
      <c r="CI1281" s="420"/>
      <c r="CJ1281" s="420"/>
      <c r="CK1281" s="420"/>
      <c r="CL1281" s="420"/>
      <c r="CM1281" s="420"/>
      <c r="CN1281" s="420"/>
      <c r="CO1281" s="420"/>
      <c r="CP1281" s="420"/>
      <c r="CQ1281" s="420"/>
      <c r="CR1281" s="420"/>
      <c r="CS1281" s="420"/>
      <c r="CT1281" s="420"/>
      <c r="CU1281" s="420"/>
      <c r="CV1281" s="420"/>
      <c r="CW1281" s="420"/>
      <c r="CX1281" s="420"/>
      <c r="CY1281" s="420"/>
      <c r="CZ1281" s="420"/>
      <c r="DA1281" s="420"/>
      <c r="DB1281" s="420"/>
      <c r="DC1281" s="420"/>
      <c r="DD1281" s="420"/>
      <c r="DE1281" s="420"/>
      <c r="DF1281" s="420"/>
      <c r="DG1281" s="420"/>
      <c r="DH1281" s="420"/>
      <c r="DI1281" s="420"/>
      <c r="DJ1281" s="420"/>
      <c r="DK1281" s="420"/>
      <c r="DL1281" s="420"/>
      <c r="DM1281" s="420"/>
      <c r="DN1281" s="420"/>
      <c r="DO1281" s="420"/>
      <c r="DP1281" s="420"/>
      <c r="DQ1281" s="420"/>
      <c r="DR1281" s="420"/>
      <c r="DS1281" s="420"/>
      <c r="DT1281" s="420"/>
      <c r="DU1281" s="420"/>
      <c r="DV1281" s="420"/>
      <c r="DW1281" s="420"/>
      <c r="DX1281" s="420"/>
      <c r="DY1281" s="420"/>
      <c r="DZ1281" s="420"/>
      <c r="EA1281" s="420"/>
      <c r="EB1281" s="420"/>
      <c r="EC1281" s="420"/>
      <c r="ED1281" s="420"/>
      <c r="EE1281" s="420"/>
      <c r="EF1281" s="420"/>
      <c r="EG1281" s="420"/>
      <c r="EH1281" s="420"/>
      <c r="EI1281" s="420"/>
      <c r="EJ1281" s="420"/>
      <c r="EK1281" s="420"/>
      <c r="EL1281" s="420"/>
      <c r="EM1281" s="420"/>
      <c r="EN1281" s="420"/>
      <c r="EO1281" s="420"/>
      <c r="EP1281" s="420"/>
      <c r="EQ1281" s="420"/>
      <c r="ER1281" s="420"/>
      <c r="ES1281" s="420"/>
      <c r="ET1281" s="420"/>
      <c r="EU1281" s="420"/>
      <c r="EV1281" s="420"/>
      <c r="EW1281" s="420"/>
      <c r="EX1281" s="420"/>
      <c r="EY1281" s="420"/>
      <c r="EZ1281" s="420"/>
      <c r="FA1281" s="420"/>
      <c r="FB1281" s="420"/>
      <c r="FC1281" s="420"/>
      <c r="FD1281" s="420"/>
      <c r="FE1281" s="420"/>
      <c r="FF1281" s="420"/>
      <c r="FG1281" s="420"/>
      <c r="FH1281" s="420"/>
      <c r="FI1281" s="420"/>
      <c r="FJ1281" s="420"/>
      <c r="FK1281" s="420"/>
      <c r="FL1281" s="420"/>
      <c r="FM1281" s="420"/>
      <c r="FN1281" s="420"/>
      <c r="FO1281" s="420"/>
      <c r="FP1281" s="420"/>
      <c r="FQ1281" s="420"/>
      <c r="FR1281" s="420"/>
      <c r="FS1281" s="420"/>
      <c r="FT1281" s="420"/>
      <c r="FU1281" s="420"/>
      <c r="FV1281" s="420"/>
      <c r="FW1281" s="420"/>
      <c r="FX1281" s="420"/>
      <c r="FY1281" s="420"/>
    </row>
    <row r="1282" spans="1:181" s="421" customFormat="1" ht="89.25">
      <c r="A1282" s="918" t="s">
        <v>929</v>
      </c>
      <c r="B1282" s="927" t="s">
        <v>930</v>
      </c>
      <c r="C1282" s="920" t="s">
        <v>47</v>
      </c>
      <c r="D1282" s="921">
        <v>15</v>
      </c>
      <c r="E1282" s="922"/>
      <c r="F1282" s="380">
        <f t="shared" si="46"/>
        <v>0</v>
      </c>
      <c r="G1282" s="433"/>
      <c r="H1282" s="420"/>
      <c r="I1282" s="420"/>
      <c r="J1282" s="420"/>
      <c r="K1282" s="420"/>
      <c r="L1282" s="420"/>
      <c r="M1282" s="420"/>
      <c r="N1282" s="640">
        <f t="shared" si="47"/>
        <v>0</v>
      </c>
      <c r="O1282" s="640">
        <f t="shared" si="48"/>
        <v>0</v>
      </c>
      <c r="P1282" s="420"/>
      <c r="Q1282" s="420"/>
      <c r="R1282" s="420"/>
      <c r="S1282" s="420"/>
      <c r="T1282" s="420"/>
      <c r="U1282" s="420"/>
      <c r="V1282" s="420"/>
      <c r="W1282" s="420"/>
      <c r="X1282" s="420"/>
      <c r="Y1282" s="420"/>
      <c r="Z1282" s="420"/>
      <c r="AA1282" s="420"/>
      <c r="AB1282" s="420"/>
      <c r="AC1282" s="420"/>
      <c r="AD1282" s="420"/>
      <c r="AE1282" s="420"/>
      <c r="AF1282" s="420"/>
      <c r="AG1282" s="420"/>
      <c r="AH1282" s="420"/>
      <c r="AI1282" s="420"/>
      <c r="AJ1282" s="420"/>
      <c r="AK1282" s="420"/>
      <c r="AL1282" s="420"/>
      <c r="AM1282" s="420"/>
      <c r="AN1282" s="420"/>
      <c r="AO1282" s="420"/>
      <c r="AP1282" s="420"/>
      <c r="AQ1282" s="420"/>
      <c r="AR1282" s="420"/>
      <c r="AS1282" s="420"/>
      <c r="AT1282" s="420"/>
      <c r="AU1282" s="420"/>
      <c r="AV1282" s="420"/>
      <c r="AW1282" s="420"/>
      <c r="AX1282" s="420"/>
      <c r="AY1282" s="420"/>
      <c r="AZ1282" s="420"/>
      <c r="BA1282" s="420"/>
      <c r="BB1282" s="420"/>
      <c r="BC1282" s="420"/>
      <c r="BD1282" s="420"/>
      <c r="BE1282" s="420"/>
      <c r="BF1282" s="420"/>
      <c r="BG1282" s="420"/>
      <c r="BH1282" s="420"/>
      <c r="BI1282" s="420"/>
      <c r="BJ1282" s="420"/>
      <c r="BK1282" s="420"/>
      <c r="BL1282" s="420"/>
      <c r="BM1282" s="420"/>
      <c r="BN1282" s="420"/>
      <c r="BO1282" s="420"/>
      <c r="BP1282" s="420"/>
      <c r="BQ1282" s="420"/>
      <c r="BR1282" s="420"/>
      <c r="BS1282" s="420"/>
      <c r="BT1282" s="420"/>
      <c r="BU1282" s="420"/>
      <c r="BV1282" s="420"/>
      <c r="BW1282" s="420"/>
      <c r="BX1282" s="420"/>
      <c r="BY1282" s="420"/>
      <c r="BZ1282" s="420"/>
      <c r="CA1282" s="420"/>
      <c r="CB1282" s="420"/>
      <c r="CC1282" s="420"/>
      <c r="CD1282" s="420"/>
      <c r="CE1282" s="420"/>
      <c r="CF1282" s="420"/>
      <c r="CG1282" s="420"/>
      <c r="CH1282" s="420"/>
      <c r="CI1282" s="420"/>
      <c r="CJ1282" s="420"/>
      <c r="CK1282" s="420"/>
      <c r="CL1282" s="420"/>
      <c r="CM1282" s="420"/>
      <c r="CN1282" s="420"/>
      <c r="CO1282" s="420"/>
      <c r="CP1282" s="420"/>
      <c r="CQ1282" s="420"/>
      <c r="CR1282" s="420"/>
      <c r="CS1282" s="420"/>
      <c r="CT1282" s="420"/>
      <c r="CU1282" s="420"/>
      <c r="CV1282" s="420"/>
      <c r="CW1282" s="420"/>
      <c r="CX1282" s="420"/>
      <c r="CY1282" s="420"/>
      <c r="CZ1282" s="420"/>
      <c r="DA1282" s="420"/>
      <c r="DB1282" s="420"/>
      <c r="DC1282" s="420"/>
      <c r="DD1282" s="420"/>
      <c r="DE1282" s="420"/>
      <c r="DF1282" s="420"/>
      <c r="DG1282" s="420"/>
      <c r="DH1282" s="420"/>
      <c r="DI1282" s="420"/>
      <c r="DJ1282" s="420"/>
      <c r="DK1282" s="420"/>
      <c r="DL1282" s="420"/>
      <c r="DM1282" s="420"/>
      <c r="DN1282" s="420"/>
      <c r="DO1282" s="420"/>
      <c r="DP1282" s="420"/>
      <c r="DQ1282" s="420"/>
      <c r="DR1282" s="420"/>
      <c r="DS1282" s="420"/>
      <c r="DT1282" s="420"/>
      <c r="DU1282" s="420"/>
      <c r="DV1282" s="420"/>
      <c r="DW1282" s="420"/>
      <c r="DX1282" s="420"/>
      <c r="DY1282" s="420"/>
      <c r="DZ1282" s="420"/>
      <c r="EA1282" s="420"/>
      <c r="EB1282" s="420"/>
      <c r="EC1282" s="420"/>
      <c r="ED1282" s="420"/>
      <c r="EE1282" s="420"/>
      <c r="EF1282" s="420"/>
      <c r="EG1282" s="420"/>
      <c r="EH1282" s="420"/>
      <c r="EI1282" s="420"/>
      <c r="EJ1282" s="420"/>
      <c r="EK1282" s="420"/>
      <c r="EL1282" s="420"/>
      <c r="EM1282" s="420"/>
      <c r="EN1282" s="420"/>
      <c r="EO1282" s="420"/>
      <c r="EP1282" s="420"/>
      <c r="EQ1282" s="420"/>
      <c r="ER1282" s="420"/>
      <c r="ES1282" s="420"/>
      <c r="ET1282" s="420"/>
      <c r="EU1282" s="420"/>
      <c r="EV1282" s="420"/>
      <c r="EW1282" s="420"/>
      <c r="EX1282" s="420"/>
      <c r="EY1282" s="420"/>
      <c r="EZ1282" s="420"/>
      <c r="FA1282" s="420"/>
      <c r="FB1282" s="420"/>
      <c r="FC1282" s="420"/>
      <c r="FD1282" s="420"/>
      <c r="FE1282" s="420"/>
      <c r="FF1282" s="420"/>
      <c r="FG1282" s="420"/>
      <c r="FH1282" s="420"/>
      <c r="FI1282" s="420"/>
      <c r="FJ1282" s="420"/>
      <c r="FK1282" s="420"/>
      <c r="FL1282" s="420"/>
      <c r="FM1282" s="420"/>
      <c r="FN1282" s="420"/>
      <c r="FO1282" s="420"/>
      <c r="FP1282" s="420"/>
      <c r="FQ1282" s="420"/>
      <c r="FR1282" s="420"/>
      <c r="FS1282" s="420"/>
      <c r="FT1282" s="420"/>
      <c r="FU1282" s="420"/>
      <c r="FV1282" s="420"/>
      <c r="FW1282" s="420"/>
      <c r="FX1282" s="420"/>
      <c r="FY1282" s="420"/>
    </row>
    <row r="1283" spans="1:181" s="421" customFormat="1" ht="89.25">
      <c r="A1283" s="918" t="s">
        <v>932</v>
      </c>
      <c r="B1283" s="927" t="s">
        <v>1251</v>
      </c>
      <c r="C1283" s="920" t="s">
        <v>47</v>
      </c>
      <c r="D1283" s="921">
        <v>6</v>
      </c>
      <c r="E1283" s="922"/>
      <c r="F1283" s="380">
        <f t="shared" si="46"/>
        <v>0</v>
      </c>
      <c r="G1283" s="433"/>
      <c r="H1283" s="420"/>
      <c r="I1283" s="420"/>
      <c r="J1283" s="420"/>
      <c r="K1283" s="420"/>
      <c r="L1283" s="420"/>
      <c r="M1283" s="420"/>
      <c r="N1283" s="640">
        <f t="shared" si="47"/>
        <v>0</v>
      </c>
      <c r="O1283" s="640">
        <f t="shared" si="48"/>
        <v>0</v>
      </c>
      <c r="P1283" s="420"/>
      <c r="Q1283" s="420"/>
      <c r="R1283" s="420"/>
      <c r="S1283" s="420"/>
      <c r="T1283" s="420"/>
      <c r="U1283" s="420"/>
      <c r="V1283" s="420"/>
      <c r="W1283" s="420"/>
      <c r="X1283" s="420"/>
      <c r="Y1283" s="420"/>
      <c r="Z1283" s="420"/>
      <c r="AA1283" s="420"/>
      <c r="AB1283" s="420"/>
      <c r="AC1283" s="420"/>
      <c r="AD1283" s="420"/>
      <c r="AE1283" s="420"/>
      <c r="AF1283" s="420"/>
      <c r="AG1283" s="420"/>
      <c r="AH1283" s="420"/>
      <c r="AI1283" s="420"/>
      <c r="AJ1283" s="420"/>
      <c r="AK1283" s="420"/>
      <c r="AL1283" s="420"/>
      <c r="AM1283" s="420"/>
      <c r="AN1283" s="420"/>
      <c r="AO1283" s="420"/>
      <c r="AP1283" s="420"/>
      <c r="AQ1283" s="420"/>
      <c r="AR1283" s="420"/>
      <c r="AS1283" s="420"/>
      <c r="AT1283" s="420"/>
      <c r="AU1283" s="420"/>
      <c r="AV1283" s="420"/>
      <c r="AW1283" s="420"/>
      <c r="AX1283" s="420"/>
      <c r="AY1283" s="420"/>
      <c r="AZ1283" s="420"/>
      <c r="BA1283" s="420"/>
      <c r="BB1283" s="420"/>
      <c r="BC1283" s="420"/>
      <c r="BD1283" s="420"/>
      <c r="BE1283" s="420"/>
      <c r="BF1283" s="420"/>
      <c r="BG1283" s="420"/>
      <c r="BH1283" s="420"/>
      <c r="BI1283" s="420"/>
      <c r="BJ1283" s="420"/>
      <c r="BK1283" s="420"/>
      <c r="BL1283" s="420"/>
      <c r="BM1283" s="420"/>
      <c r="BN1283" s="420"/>
      <c r="BO1283" s="420"/>
      <c r="BP1283" s="420"/>
      <c r="BQ1283" s="420"/>
      <c r="BR1283" s="420"/>
      <c r="BS1283" s="420"/>
      <c r="BT1283" s="420"/>
      <c r="BU1283" s="420"/>
      <c r="BV1283" s="420"/>
      <c r="BW1283" s="420"/>
      <c r="BX1283" s="420"/>
      <c r="BY1283" s="420"/>
      <c r="BZ1283" s="420"/>
      <c r="CA1283" s="420"/>
      <c r="CB1283" s="420"/>
      <c r="CC1283" s="420"/>
      <c r="CD1283" s="420"/>
      <c r="CE1283" s="420"/>
      <c r="CF1283" s="420"/>
      <c r="CG1283" s="420"/>
      <c r="CH1283" s="420"/>
      <c r="CI1283" s="420"/>
      <c r="CJ1283" s="420"/>
      <c r="CK1283" s="420"/>
      <c r="CL1283" s="420"/>
      <c r="CM1283" s="420"/>
      <c r="CN1283" s="420"/>
      <c r="CO1283" s="420"/>
      <c r="CP1283" s="420"/>
      <c r="CQ1283" s="420"/>
      <c r="CR1283" s="420"/>
      <c r="CS1283" s="420"/>
      <c r="CT1283" s="420"/>
      <c r="CU1283" s="420"/>
      <c r="CV1283" s="420"/>
      <c r="CW1283" s="420"/>
      <c r="CX1283" s="420"/>
      <c r="CY1283" s="420"/>
      <c r="CZ1283" s="420"/>
      <c r="DA1283" s="420"/>
      <c r="DB1283" s="420"/>
      <c r="DC1283" s="420"/>
      <c r="DD1283" s="420"/>
      <c r="DE1283" s="420"/>
      <c r="DF1283" s="420"/>
      <c r="DG1283" s="420"/>
      <c r="DH1283" s="420"/>
      <c r="DI1283" s="420"/>
      <c r="DJ1283" s="420"/>
      <c r="DK1283" s="420"/>
      <c r="DL1283" s="420"/>
      <c r="DM1283" s="420"/>
      <c r="DN1283" s="420"/>
      <c r="DO1283" s="420"/>
      <c r="DP1283" s="420"/>
      <c r="DQ1283" s="420"/>
      <c r="DR1283" s="420"/>
      <c r="DS1283" s="420"/>
      <c r="DT1283" s="420"/>
      <c r="DU1283" s="420"/>
      <c r="DV1283" s="420"/>
      <c r="DW1283" s="420"/>
      <c r="DX1283" s="420"/>
      <c r="DY1283" s="420"/>
      <c r="DZ1283" s="420"/>
      <c r="EA1283" s="420"/>
      <c r="EB1283" s="420"/>
      <c r="EC1283" s="420"/>
      <c r="ED1283" s="420"/>
      <c r="EE1283" s="420"/>
      <c r="EF1283" s="420"/>
      <c r="EG1283" s="420"/>
      <c r="EH1283" s="420"/>
      <c r="EI1283" s="420"/>
      <c r="EJ1283" s="420"/>
      <c r="EK1283" s="420"/>
      <c r="EL1283" s="420"/>
      <c r="EM1283" s="420"/>
      <c r="EN1283" s="420"/>
      <c r="EO1283" s="420"/>
      <c r="EP1283" s="420"/>
      <c r="EQ1283" s="420"/>
      <c r="ER1283" s="420"/>
      <c r="ES1283" s="420"/>
      <c r="ET1283" s="420"/>
      <c r="EU1283" s="420"/>
      <c r="EV1283" s="420"/>
      <c r="EW1283" s="420"/>
      <c r="EX1283" s="420"/>
      <c r="EY1283" s="420"/>
      <c r="EZ1283" s="420"/>
      <c r="FA1283" s="420"/>
      <c r="FB1283" s="420"/>
      <c r="FC1283" s="420"/>
      <c r="FD1283" s="420"/>
      <c r="FE1283" s="420"/>
      <c r="FF1283" s="420"/>
      <c r="FG1283" s="420"/>
      <c r="FH1283" s="420"/>
      <c r="FI1283" s="420"/>
      <c r="FJ1283" s="420"/>
      <c r="FK1283" s="420"/>
      <c r="FL1283" s="420"/>
      <c r="FM1283" s="420"/>
      <c r="FN1283" s="420"/>
      <c r="FO1283" s="420"/>
      <c r="FP1283" s="420"/>
      <c r="FQ1283" s="420"/>
      <c r="FR1283" s="420"/>
      <c r="FS1283" s="420"/>
      <c r="FT1283" s="420"/>
      <c r="FU1283" s="420"/>
      <c r="FV1283" s="420"/>
      <c r="FW1283" s="420"/>
      <c r="FX1283" s="420"/>
      <c r="FY1283" s="420"/>
    </row>
    <row r="1284" spans="1:181" s="421" customFormat="1" ht="63.75">
      <c r="A1284" s="918" t="s">
        <v>934</v>
      </c>
      <c r="B1284" s="927" t="s">
        <v>1252</v>
      </c>
      <c r="C1284" s="920" t="s">
        <v>47</v>
      </c>
      <c r="D1284" s="921">
        <v>112</v>
      </c>
      <c r="E1284" s="922"/>
      <c r="F1284" s="380">
        <f t="shared" si="46"/>
        <v>0</v>
      </c>
      <c r="G1284" s="433"/>
      <c r="H1284" s="420"/>
      <c r="I1284" s="420"/>
      <c r="J1284" s="420"/>
      <c r="K1284" s="420"/>
      <c r="L1284" s="420"/>
      <c r="M1284" s="420"/>
      <c r="N1284" s="640">
        <f t="shared" si="47"/>
        <v>0</v>
      </c>
      <c r="O1284" s="640">
        <f t="shared" si="48"/>
        <v>0</v>
      </c>
      <c r="P1284" s="420"/>
      <c r="Q1284" s="420"/>
      <c r="R1284" s="420"/>
      <c r="S1284" s="420"/>
      <c r="T1284" s="420"/>
      <c r="U1284" s="420"/>
      <c r="V1284" s="420"/>
      <c r="W1284" s="420"/>
      <c r="X1284" s="420"/>
      <c r="Y1284" s="420"/>
      <c r="Z1284" s="420"/>
      <c r="AA1284" s="420"/>
      <c r="AB1284" s="420"/>
      <c r="AC1284" s="420"/>
      <c r="AD1284" s="420"/>
      <c r="AE1284" s="420"/>
      <c r="AF1284" s="420"/>
      <c r="AG1284" s="420"/>
      <c r="AH1284" s="420"/>
      <c r="AI1284" s="420"/>
      <c r="AJ1284" s="420"/>
      <c r="AK1284" s="420"/>
      <c r="AL1284" s="420"/>
      <c r="AM1284" s="420"/>
      <c r="AN1284" s="420"/>
      <c r="AO1284" s="420"/>
      <c r="AP1284" s="420"/>
      <c r="AQ1284" s="420"/>
      <c r="AR1284" s="420"/>
      <c r="AS1284" s="420"/>
      <c r="AT1284" s="420"/>
      <c r="AU1284" s="420"/>
      <c r="AV1284" s="420"/>
      <c r="AW1284" s="420"/>
      <c r="AX1284" s="420"/>
      <c r="AY1284" s="420"/>
      <c r="AZ1284" s="420"/>
      <c r="BA1284" s="420"/>
      <c r="BB1284" s="420"/>
      <c r="BC1284" s="420"/>
      <c r="BD1284" s="420"/>
      <c r="BE1284" s="420"/>
      <c r="BF1284" s="420"/>
      <c r="BG1284" s="420"/>
      <c r="BH1284" s="420"/>
      <c r="BI1284" s="420"/>
      <c r="BJ1284" s="420"/>
      <c r="BK1284" s="420"/>
      <c r="BL1284" s="420"/>
      <c r="BM1284" s="420"/>
      <c r="BN1284" s="420"/>
      <c r="BO1284" s="420"/>
      <c r="BP1284" s="420"/>
      <c r="BQ1284" s="420"/>
      <c r="BR1284" s="420"/>
      <c r="BS1284" s="420"/>
      <c r="BT1284" s="420"/>
      <c r="BU1284" s="420"/>
      <c r="BV1284" s="420"/>
      <c r="BW1284" s="420"/>
      <c r="BX1284" s="420"/>
      <c r="BY1284" s="420"/>
      <c r="BZ1284" s="420"/>
      <c r="CA1284" s="420"/>
      <c r="CB1284" s="420"/>
      <c r="CC1284" s="420"/>
      <c r="CD1284" s="420"/>
      <c r="CE1284" s="420"/>
      <c r="CF1284" s="420"/>
      <c r="CG1284" s="420"/>
      <c r="CH1284" s="420"/>
      <c r="CI1284" s="420"/>
      <c r="CJ1284" s="420"/>
      <c r="CK1284" s="420"/>
      <c r="CL1284" s="420"/>
      <c r="CM1284" s="420"/>
      <c r="CN1284" s="420"/>
      <c r="CO1284" s="420"/>
      <c r="CP1284" s="420"/>
      <c r="CQ1284" s="420"/>
      <c r="CR1284" s="420"/>
      <c r="CS1284" s="420"/>
      <c r="CT1284" s="420"/>
      <c r="CU1284" s="420"/>
      <c r="CV1284" s="420"/>
      <c r="CW1284" s="420"/>
      <c r="CX1284" s="420"/>
      <c r="CY1284" s="420"/>
      <c r="CZ1284" s="420"/>
      <c r="DA1284" s="420"/>
      <c r="DB1284" s="420"/>
      <c r="DC1284" s="420"/>
      <c r="DD1284" s="420"/>
      <c r="DE1284" s="420"/>
      <c r="DF1284" s="420"/>
      <c r="DG1284" s="420"/>
      <c r="DH1284" s="420"/>
      <c r="DI1284" s="420"/>
      <c r="DJ1284" s="420"/>
      <c r="DK1284" s="420"/>
      <c r="DL1284" s="420"/>
      <c r="DM1284" s="420"/>
      <c r="DN1284" s="420"/>
      <c r="DO1284" s="420"/>
      <c r="DP1284" s="420"/>
      <c r="DQ1284" s="420"/>
      <c r="DR1284" s="420"/>
      <c r="DS1284" s="420"/>
      <c r="DT1284" s="420"/>
      <c r="DU1284" s="420"/>
      <c r="DV1284" s="420"/>
      <c r="DW1284" s="420"/>
      <c r="DX1284" s="420"/>
      <c r="DY1284" s="420"/>
      <c r="DZ1284" s="420"/>
      <c r="EA1284" s="420"/>
      <c r="EB1284" s="420"/>
      <c r="EC1284" s="420"/>
      <c r="ED1284" s="420"/>
      <c r="EE1284" s="420"/>
      <c r="EF1284" s="420"/>
      <c r="EG1284" s="420"/>
      <c r="EH1284" s="420"/>
      <c r="EI1284" s="420"/>
      <c r="EJ1284" s="420"/>
      <c r="EK1284" s="420"/>
      <c r="EL1284" s="420"/>
      <c r="EM1284" s="420"/>
      <c r="EN1284" s="420"/>
      <c r="EO1284" s="420"/>
      <c r="EP1284" s="420"/>
      <c r="EQ1284" s="420"/>
      <c r="ER1284" s="420"/>
      <c r="ES1284" s="420"/>
      <c r="ET1284" s="420"/>
      <c r="EU1284" s="420"/>
      <c r="EV1284" s="420"/>
      <c r="EW1284" s="420"/>
      <c r="EX1284" s="420"/>
      <c r="EY1284" s="420"/>
      <c r="EZ1284" s="420"/>
      <c r="FA1284" s="420"/>
      <c r="FB1284" s="420"/>
      <c r="FC1284" s="420"/>
      <c r="FD1284" s="420"/>
      <c r="FE1284" s="420"/>
      <c r="FF1284" s="420"/>
      <c r="FG1284" s="420"/>
      <c r="FH1284" s="420"/>
      <c r="FI1284" s="420"/>
      <c r="FJ1284" s="420"/>
      <c r="FK1284" s="420"/>
      <c r="FL1284" s="420"/>
      <c r="FM1284" s="420"/>
      <c r="FN1284" s="420"/>
      <c r="FO1284" s="420"/>
      <c r="FP1284" s="420"/>
      <c r="FQ1284" s="420"/>
      <c r="FR1284" s="420"/>
      <c r="FS1284" s="420"/>
      <c r="FT1284" s="420"/>
      <c r="FU1284" s="420"/>
      <c r="FV1284" s="420"/>
      <c r="FW1284" s="420"/>
      <c r="FX1284" s="420"/>
      <c r="FY1284" s="420"/>
    </row>
    <row r="1285" spans="1:256" s="421" customFormat="1" ht="12.75">
      <c r="A1285" s="954"/>
      <c r="B1285" s="955" t="s">
        <v>931</v>
      </c>
      <c r="C1285" s="956"/>
      <c r="D1285" s="956"/>
      <c r="E1285" s="956"/>
      <c r="F1285" s="380"/>
      <c r="G1285" s="420"/>
      <c r="H1285" s="420"/>
      <c r="I1285" s="420"/>
      <c r="J1285" s="420"/>
      <c r="K1285" s="420"/>
      <c r="L1285" s="420"/>
      <c r="M1285" s="420"/>
      <c r="N1285" s="640">
        <f t="shared" si="47"/>
        <v>0</v>
      </c>
      <c r="O1285" s="646"/>
      <c r="P1285" s="420"/>
      <c r="Q1285" s="420"/>
      <c r="R1285" s="420"/>
      <c r="S1285" s="420"/>
      <c r="T1285" s="420"/>
      <c r="U1285" s="420"/>
      <c r="V1285" s="420"/>
      <c r="W1285" s="420"/>
      <c r="X1285" s="420"/>
      <c r="Y1285" s="420"/>
      <c r="Z1285" s="420"/>
      <c r="AA1285" s="420"/>
      <c r="AB1285" s="420"/>
      <c r="AC1285" s="420"/>
      <c r="AD1285" s="420"/>
      <c r="AE1285" s="420"/>
      <c r="AF1285" s="420"/>
      <c r="AG1285" s="420"/>
      <c r="AH1285" s="420"/>
      <c r="AI1285" s="420"/>
      <c r="AJ1285" s="420"/>
      <c r="AK1285" s="420"/>
      <c r="AL1285" s="420"/>
      <c r="AM1285" s="420"/>
      <c r="AN1285" s="420"/>
      <c r="AO1285" s="420"/>
      <c r="AP1285" s="420"/>
      <c r="AQ1285" s="420"/>
      <c r="AR1285" s="420"/>
      <c r="AS1285" s="420"/>
      <c r="AT1285" s="420"/>
      <c r="AU1285" s="420"/>
      <c r="AV1285" s="420"/>
      <c r="AW1285" s="420"/>
      <c r="AX1285" s="420"/>
      <c r="AY1285" s="420"/>
      <c r="AZ1285" s="420"/>
      <c r="BA1285" s="420"/>
      <c r="BB1285" s="420"/>
      <c r="BC1285" s="420"/>
      <c r="BD1285" s="420"/>
      <c r="BE1285" s="420"/>
      <c r="BF1285" s="420"/>
      <c r="BG1285" s="420"/>
      <c r="BH1285" s="420"/>
      <c r="BI1285" s="420"/>
      <c r="BJ1285" s="420"/>
      <c r="BK1285" s="420"/>
      <c r="BL1285" s="420"/>
      <c r="BM1285" s="420"/>
      <c r="BN1285" s="420"/>
      <c r="BO1285" s="420"/>
      <c r="BP1285" s="420"/>
      <c r="BQ1285" s="420"/>
      <c r="BR1285" s="420"/>
      <c r="BS1285" s="420"/>
      <c r="BT1285" s="420"/>
      <c r="BU1285" s="420"/>
      <c r="BV1285" s="420"/>
      <c r="BW1285" s="420"/>
      <c r="BX1285" s="420"/>
      <c r="BY1285" s="420"/>
      <c r="BZ1285" s="420"/>
      <c r="CA1285" s="420"/>
      <c r="CB1285" s="420"/>
      <c r="CC1285" s="420"/>
      <c r="CD1285" s="420"/>
      <c r="CE1285" s="420"/>
      <c r="CF1285" s="420"/>
      <c r="CG1285" s="420"/>
      <c r="CH1285" s="420"/>
      <c r="CI1285" s="420"/>
      <c r="CJ1285" s="420"/>
      <c r="CK1285" s="420"/>
      <c r="CL1285" s="420"/>
      <c r="CM1285" s="420"/>
      <c r="CN1285" s="420"/>
      <c r="CO1285" s="420"/>
      <c r="CP1285" s="420"/>
      <c r="CQ1285" s="420"/>
      <c r="CR1285" s="420"/>
      <c r="CS1285" s="420"/>
      <c r="CT1285" s="420"/>
      <c r="CU1285" s="420"/>
      <c r="CV1285" s="420"/>
      <c r="CW1285" s="420"/>
      <c r="CX1285" s="420"/>
      <c r="CY1285" s="420"/>
      <c r="CZ1285" s="420"/>
      <c r="DA1285" s="420"/>
      <c r="DB1285" s="420"/>
      <c r="DC1285" s="420"/>
      <c r="DD1285" s="420"/>
      <c r="DE1285" s="420"/>
      <c r="DF1285" s="420"/>
      <c r="DG1285" s="420"/>
      <c r="DH1285" s="420"/>
      <c r="DI1285" s="420"/>
      <c r="DJ1285" s="420"/>
      <c r="DK1285" s="420"/>
      <c r="DL1285" s="420"/>
      <c r="DM1285" s="420"/>
      <c r="DN1285" s="420"/>
      <c r="DO1285" s="420"/>
      <c r="DP1285" s="420"/>
      <c r="DQ1285" s="420"/>
      <c r="DR1285" s="420"/>
      <c r="DS1285" s="420"/>
      <c r="DT1285" s="420"/>
      <c r="DU1285" s="420"/>
      <c r="DV1285" s="420"/>
      <c r="DW1285" s="420"/>
      <c r="DX1285" s="420"/>
      <c r="DY1285" s="420"/>
      <c r="DZ1285" s="420"/>
      <c r="EA1285" s="420"/>
      <c r="EB1285" s="420"/>
      <c r="EC1285" s="420"/>
      <c r="ED1285" s="420"/>
      <c r="EE1285" s="420"/>
      <c r="EF1285" s="420"/>
      <c r="EG1285" s="420"/>
      <c r="EH1285" s="420"/>
      <c r="EI1285" s="420"/>
      <c r="EJ1285" s="420"/>
      <c r="EK1285" s="420"/>
      <c r="EL1285" s="420"/>
      <c r="EM1285" s="420"/>
      <c r="EN1285" s="420"/>
      <c r="EO1285" s="420"/>
      <c r="EP1285" s="420"/>
      <c r="EQ1285" s="420"/>
      <c r="ER1285" s="420"/>
      <c r="ES1285" s="420"/>
      <c r="ET1285" s="420"/>
      <c r="EU1285" s="420"/>
      <c r="EV1285" s="420"/>
      <c r="EW1285" s="420"/>
      <c r="EX1285" s="420"/>
      <c r="EY1285" s="420"/>
      <c r="EZ1285" s="420"/>
      <c r="FA1285" s="420"/>
      <c r="FB1285" s="420"/>
      <c r="FC1285" s="420"/>
      <c r="FD1285" s="420"/>
      <c r="FE1285" s="420"/>
      <c r="FF1285" s="420"/>
      <c r="FG1285" s="420"/>
      <c r="FH1285" s="420"/>
      <c r="FI1285" s="420"/>
      <c r="FJ1285" s="420"/>
      <c r="FK1285" s="420"/>
      <c r="FL1285" s="420"/>
      <c r="FM1285" s="420"/>
      <c r="FN1285" s="420"/>
      <c r="FO1285" s="420"/>
      <c r="FP1285" s="420"/>
      <c r="FQ1285" s="420"/>
      <c r="FR1285" s="420"/>
      <c r="FS1285" s="420"/>
      <c r="FT1285" s="420"/>
      <c r="FU1285" s="420"/>
      <c r="FV1285" s="420"/>
      <c r="FW1285" s="420"/>
      <c r="FX1285" s="420"/>
      <c r="FY1285" s="420"/>
      <c r="IV1285" s="420"/>
    </row>
    <row r="1286" spans="1:181" s="421" customFormat="1" ht="51">
      <c r="A1286" s="918" t="s">
        <v>936</v>
      </c>
      <c r="B1286" s="927" t="s">
        <v>1253</v>
      </c>
      <c r="C1286" s="920" t="s">
        <v>47</v>
      </c>
      <c r="D1286" s="921">
        <v>3</v>
      </c>
      <c r="E1286" s="922"/>
      <c r="F1286" s="380">
        <f>D1286*E1286</f>
        <v>0</v>
      </c>
      <c r="G1286" s="433"/>
      <c r="H1286" s="420"/>
      <c r="I1286" s="420"/>
      <c r="J1286" s="420"/>
      <c r="K1286" s="420"/>
      <c r="L1286" s="420"/>
      <c r="M1286" s="420"/>
      <c r="N1286" s="640">
        <f t="shared" si="47"/>
        <v>0</v>
      </c>
      <c r="O1286" s="640">
        <f>N1286*D1286</f>
        <v>0</v>
      </c>
      <c r="P1286" s="420"/>
      <c r="Q1286" s="420"/>
      <c r="R1286" s="420"/>
      <c r="S1286" s="420"/>
      <c r="T1286" s="420"/>
      <c r="U1286" s="420"/>
      <c r="V1286" s="420"/>
      <c r="W1286" s="420"/>
      <c r="X1286" s="420"/>
      <c r="Y1286" s="420"/>
      <c r="Z1286" s="420"/>
      <c r="AA1286" s="420"/>
      <c r="AB1286" s="420"/>
      <c r="AC1286" s="420"/>
      <c r="AD1286" s="420"/>
      <c r="AE1286" s="420"/>
      <c r="AF1286" s="420"/>
      <c r="AG1286" s="420"/>
      <c r="AH1286" s="420"/>
      <c r="AI1286" s="420"/>
      <c r="AJ1286" s="420"/>
      <c r="AK1286" s="420"/>
      <c r="AL1286" s="420"/>
      <c r="AM1286" s="420"/>
      <c r="AN1286" s="420"/>
      <c r="AO1286" s="420"/>
      <c r="AP1286" s="420"/>
      <c r="AQ1286" s="420"/>
      <c r="AR1286" s="420"/>
      <c r="AS1286" s="420"/>
      <c r="AT1286" s="420"/>
      <c r="AU1286" s="420"/>
      <c r="AV1286" s="420"/>
      <c r="AW1286" s="420"/>
      <c r="AX1286" s="420"/>
      <c r="AY1286" s="420"/>
      <c r="AZ1286" s="420"/>
      <c r="BA1286" s="420"/>
      <c r="BB1286" s="420"/>
      <c r="BC1286" s="420"/>
      <c r="BD1286" s="420"/>
      <c r="BE1286" s="420"/>
      <c r="BF1286" s="420"/>
      <c r="BG1286" s="420"/>
      <c r="BH1286" s="420"/>
      <c r="BI1286" s="420"/>
      <c r="BJ1286" s="420"/>
      <c r="BK1286" s="420"/>
      <c r="BL1286" s="420"/>
      <c r="BM1286" s="420"/>
      <c r="BN1286" s="420"/>
      <c r="BO1286" s="420"/>
      <c r="BP1286" s="420"/>
      <c r="BQ1286" s="420"/>
      <c r="BR1286" s="420"/>
      <c r="BS1286" s="420"/>
      <c r="BT1286" s="420"/>
      <c r="BU1286" s="420"/>
      <c r="BV1286" s="420"/>
      <c r="BW1286" s="420"/>
      <c r="BX1286" s="420"/>
      <c r="BY1286" s="420"/>
      <c r="BZ1286" s="420"/>
      <c r="CA1286" s="420"/>
      <c r="CB1286" s="420"/>
      <c r="CC1286" s="420"/>
      <c r="CD1286" s="420"/>
      <c r="CE1286" s="420"/>
      <c r="CF1286" s="420"/>
      <c r="CG1286" s="420"/>
      <c r="CH1286" s="420"/>
      <c r="CI1286" s="420"/>
      <c r="CJ1286" s="420"/>
      <c r="CK1286" s="420"/>
      <c r="CL1286" s="420"/>
      <c r="CM1286" s="420"/>
      <c r="CN1286" s="420"/>
      <c r="CO1286" s="420"/>
      <c r="CP1286" s="420"/>
      <c r="CQ1286" s="420"/>
      <c r="CR1286" s="420"/>
      <c r="CS1286" s="420"/>
      <c r="CT1286" s="420"/>
      <c r="CU1286" s="420"/>
      <c r="CV1286" s="420"/>
      <c r="CW1286" s="420"/>
      <c r="CX1286" s="420"/>
      <c r="CY1286" s="420"/>
      <c r="CZ1286" s="420"/>
      <c r="DA1286" s="420"/>
      <c r="DB1286" s="420"/>
      <c r="DC1286" s="420"/>
      <c r="DD1286" s="420"/>
      <c r="DE1286" s="420"/>
      <c r="DF1286" s="420"/>
      <c r="DG1286" s="420"/>
      <c r="DH1286" s="420"/>
      <c r="DI1286" s="420"/>
      <c r="DJ1286" s="420"/>
      <c r="DK1286" s="420"/>
      <c r="DL1286" s="420"/>
      <c r="DM1286" s="420"/>
      <c r="DN1286" s="420"/>
      <c r="DO1286" s="420"/>
      <c r="DP1286" s="420"/>
      <c r="DQ1286" s="420"/>
      <c r="DR1286" s="420"/>
      <c r="DS1286" s="420"/>
      <c r="DT1286" s="420"/>
      <c r="DU1286" s="420"/>
      <c r="DV1286" s="420"/>
      <c r="DW1286" s="420"/>
      <c r="DX1286" s="420"/>
      <c r="DY1286" s="420"/>
      <c r="DZ1286" s="420"/>
      <c r="EA1286" s="420"/>
      <c r="EB1286" s="420"/>
      <c r="EC1286" s="420"/>
      <c r="ED1286" s="420"/>
      <c r="EE1286" s="420"/>
      <c r="EF1286" s="420"/>
      <c r="EG1286" s="420"/>
      <c r="EH1286" s="420"/>
      <c r="EI1286" s="420"/>
      <c r="EJ1286" s="420"/>
      <c r="EK1286" s="420"/>
      <c r="EL1286" s="420"/>
      <c r="EM1286" s="420"/>
      <c r="EN1286" s="420"/>
      <c r="EO1286" s="420"/>
      <c r="EP1286" s="420"/>
      <c r="EQ1286" s="420"/>
      <c r="ER1286" s="420"/>
      <c r="ES1286" s="420"/>
      <c r="ET1286" s="420"/>
      <c r="EU1286" s="420"/>
      <c r="EV1286" s="420"/>
      <c r="EW1286" s="420"/>
      <c r="EX1286" s="420"/>
      <c r="EY1286" s="420"/>
      <c r="EZ1286" s="420"/>
      <c r="FA1286" s="420"/>
      <c r="FB1286" s="420"/>
      <c r="FC1286" s="420"/>
      <c r="FD1286" s="420"/>
      <c r="FE1286" s="420"/>
      <c r="FF1286" s="420"/>
      <c r="FG1286" s="420"/>
      <c r="FH1286" s="420"/>
      <c r="FI1286" s="420"/>
      <c r="FJ1286" s="420"/>
      <c r="FK1286" s="420"/>
      <c r="FL1286" s="420"/>
      <c r="FM1286" s="420"/>
      <c r="FN1286" s="420"/>
      <c r="FO1286" s="420"/>
      <c r="FP1286" s="420"/>
      <c r="FQ1286" s="420"/>
      <c r="FR1286" s="420"/>
      <c r="FS1286" s="420"/>
      <c r="FT1286" s="420"/>
      <c r="FU1286" s="420"/>
      <c r="FV1286" s="420"/>
      <c r="FW1286" s="420"/>
      <c r="FX1286" s="420"/>
      <c r="FY1286" s="420"/>
    </row>
    <row r="1287" spans="1:181" s="421" customFormat="1" ht="38.25">
      <c r="A1287" s="918" t="s">
        <v>1254</v>
      </c>
      <c r="B1287" s="927" t="s">
        <v>1255</v>
      </c>
      <c r="C1287" s="920" t="s">
        <v>47</v>
      </c>
      <c r="D1287" s="921">
        <v>120</v>
      </c>
      <c r="E1287" s="922"/>
      <c r="F1287" s="380">
        <f>D1287*E1287</f>
        <v>0</v>
      </c>
      <c r="G1287" s="433"/>
      <c r="H1287" s="420"/>
      <c r="I1287" s="420"/>
      <c r="J1287" s="420"/>
      <c r="K1287" s="420"/>
      <c r="L1287" s="420"/>
      <c r="M1287" s="420"/>
      <c r="N1287" s="640">
        <f t="shared" si="47"/>
        <v>0</v>
      </c>
      <c r="O1287" s="640">
        <f>N1287*D1287</f>
        <v>0</v>
      </c>
      <c r="P1287" s="420"/>
      <c r="Q1287" s="420"/>
      <c r="R1287" s="420"/>
      <c r="S1287" s="420"/>
      <c r="T1287" s="420"/>
      <c r="U1287" s="420"/>
      <c r="V1287" s="420"/>
      <c r="W1287" s="420"/>
      <c r="X1287" s="420"/>
      <c r="Y1287" s="420"/>
      <c r="Z1287" s="420"/>
      <c r="AA1287" s="420"/>
      <c r="AB1287" s="420"/>
      <c r="AC1287" s="420"/>
      <c r="AD1287" s="420"/>
      <c r="AE1287" s="420"/>
      <c r="AF1287" s="420"/>
      <c r="AG1287" s="420"/>
      <c r="AH1287" s="420"/>
      <c r="AI1287" s="420"/>
      <c r="AJ1287" s="420"/>
      <c r="AK1287" s="420"/>
      <c r="AL1287" s="420"/>
      <c r="AM1287" s="420"/>
      <c r="AN1287" s="420"/>
      <c r="AO1287" s="420"/>
      <c r="AP1287" s="420"/>
      <c r="AQ1287" s="420"/>
      <c r="AR1287" s="420"/>
      <c r="AS1287" s="420"/>
      <c r="AT1287" s="420"/>
      <c r="AU1287" s="420"/>
      <c r="AV1287" s="420"/>
      <c r="AW1287" s="420"/>
      <c r="AX1287" s="420"/>
      <c r="AY1287" s="420"/>
      <c r="AZ1287" s="420"/>
      <c r="BA1287" s="420"/>
      <c r="BB1287" s="420"/>
      <c r="BC1287" s="420"/>
      <c r="BD1287" s="420"/>
      <c r="BE1287" s="420"/>
      <c r="BF1287" s="420"/>
      <c r="BG1287" s="420"/>
      <c r="BH1287" s="420"/>
      <c r="BI1287" s="420"/>
      <c r="BJ1287" s="420"/>
      <c r="BK1287" s="420"/>
      <c r="BL1287" s="420"/>
      <c r="BM1287" s="420"/>
      <c r="BN1287" s="420"/>
      <c r="BO1287" s="420"/>
      <c r="BP1287" s="420"/>
      <c r="BQ1287" s="420"/>
      <c r="BR1287" s="420"/>
      <c r="BS1287" s="420"/>
      <c r="BT1287" s="420"/>
      <c r="BU1287" s="420"/>
      <c r="BV1287" s="420"/>
      <c r="BW1287" s="420"/>
      <c r="BX1287" s="420"/>
      <c r="BY1287" s="420"/>
      <c r="BZ1287" s="420"/>
      <c r="CA1287" s="420"/>
      <c r="CB1287" s="420"/>
      <c r="CC1287" s="420"/>
      <c r="CD1287" s="420"/>
      <c r="CE1287" s="420"/>
      <c r="CF1287" s="420"/>
      <c r="CG1287" s="420"/>
      <c r="CH1287" s="420"/>
      <c r="CI1287" s="420"/>
      <c r="CJ1287" s="420"/>
      <c r="CK1287" s="420"/>
      <c r="CL1287" s="420"/>
      <c r="CM1287" s="420"/>
      <c r="CN1287" s="420"/>
      <c r="CO1287" s="420"/>
      <c r="CP1287" s="420"/>
      <c r="CQ1287" s="420"/>
      <c r="CR1287" s="420"/>
      <c r="CS1287" s="420"/>
      <c r="CT1287" s="420"/>
      <c r="CU1287" s="420"/>
      <c r="CV1287" s="420"/>
      <c r="CW1287" s="420"/>
      <c r="CX1287" s="420"/>
      <c r="CY1287" s="420"/>
      <c r="CZ1287" s="420"/>
      <c r="DA1287" s="420"/>
      <c r="DB1287" s="420"/>
      <c r="DC1287" s="420"/>
      <c r="DD1287" s="420"/>
      <c r="DE1287" s="420"/>
      <c r="DF1287" s="420"/>
      <c r="DG1287" s="420"/>
      <c r="DH1287" s="420"/>
      <c r="DI1287" s="420"/>
      <c r="DJ1287" s="420"/>
      <c r="DK1287" s="420"/>
      <c r="DL1287" s="420"/>
      <c r="DM1287" s="420"/>
      <c r="DN1287" s="420"/>
      <c r="DO1287" s="420"/>
      <c r="DP1287" s="420"/>
      <c r="DQ1287" s="420"/>
      <c r="DR1287" s="420"/>
      <c r="DS1287" s="420"/>
      <c r="DT1287" s="420"/>
      <c r="DU1287" s="420"/>
      <c r="DV1287" s="420"/>
      <c r="DW1287" s="420"/>
      <c r="DX1287" s="420"/>
      <c r="DY1287" s="420"/>
      <c r="DZ1287" s="420"/>
      <c r="EA1287" s="420"/>
      <c r="EB1287" s="420"/>
      <c r="EC1287" s="420"/>
      <c r="ED1287" s="420"/>
      <c r="EE1287" s="420"/>
      <c r="EF1287" s="420"/>
      <c r="EG1287" s="420"/>
      <c r="EH1287" s="420"/>
      <c r="EI1287" s="420"/>
      <c r="EJ1287" s="420"/>
      <c r="EK1287" s="420"/>
      <c r="EL1287" s="420"/>
      <c r="EM1287" s="420"/>
      <c r="EN1287" s="420"/>
      <c r="EO1287" s="420"/>
      <c r="EP1287" s="420"/>
      <c r="EQ1287" s="420"/>
      <c r="ER1287" s="420"/>
      <c r="ES1287" s="420"/>
      <c r="ET1287" s="420"/>
      <c r="EU1287" s="420"/>
      <c r="EV1287" s="420"/>
      <c r="EW1287" s="420"/>
      <c r="EX1287" s="420"/>
      <c r="EY1287" s="420"/>
      <c r="EZ1287" s="420"/>
      <c r="FA1287" s="420"/>
      <c r="FB1287" s="420"/>
      <c r="FC1287" s="420"/>
      <c r="FD1287" s="420"/>
      <c r="FE1287" s="420"/>
      <c r="FF1287" s="420"/>
      <c r="FG1287" s="420"/>
      <c r="FH1287" s="420"/>
      <c r="FI1287" s="420"/>
      <c r="FJ1287" s="420"/>
      <c r="FK1287" s="420"/>
      <c r="FL1287" s="420"/>
      <c r="FM1287" s="420"/>
      <c r="FN1287" s="420"/>
      <c r="FO1287" s="420"/>
      <c r="FP1287" s="420"/>
      <c r="FQ1287" s="420"/>
      <c r="FR1287" s="420"/>
      <c r="FS1287" s="420"/>
      <c r="FT1287" s="420"/>
      <c r="FU1287" s="420"/>
      <c r="FV1287" s="420"/>
      <c r="FW1287" s="420"/>
      <c r="FX1287" s="420"/>
      <c r="FY1287" s="420"/>
    </row>
    <row r="1288" spans="1:256" s="421" customFormat="1" ht="12.75">
      <c r="A1288" s="954"/>
      <c r="B1288" s="955" t="s">
        <v>933</v>
      </c>
      <c r="C1288" s="956"/>
      <c r="D1288" s="956"/>
      <c r="E1288" s="956"/>
      <c r="F1288" s="380">
        <f>D1288*E1288</f>
        <v>0</v>
      </c>
      <c r="G1288" s="420"/>
      <c r="H1288" s="420"/>
      <c r="I1288" s="420"/>
      <c r="J1288" s="420"/>
      <c r="K1288" s="420"/>
      <c r="L1288" s="420"/>
      <c r="M1288" s="420"/>
      <c r="N1288" s="640">
        <f t="shared" si="47"/>
        <v>0</v>
      </c>
      <c r="O1288" s="640">
        <f>N1288*D1288</f>
        <v>0</v>
      </c>
      <c r="P1288" s="420"/>
      <c r="Q1288" s="420"/>
      <c r="R1288" s="420"/>
      <c r="S1288" s="420"/>
      <c r="T1288" s="420"/>
      <c r="U1288" s="420"/>
      <c r="V1288" s="420"/>
      <c r="W1288" s="420"/>
      <c r="X1288" s="420"/>
      <c r="Y1288" s="420"/>
      <c r="Z1288" s="420"/>
      <c r="AA1288" s="420"/>
      <c r="AB1288" s="420"/>
      <c r="AC1288" s="420"/>
      <c r="AD1288" s="420"/>
      <c r="AE1288" s="420"/>
      <c r="AF1288" s="420"/>
      <c r="AG1288" s="420"/>
      <c r="AH1288" s="420"/>
      <c r="AI1288" s="420"/>
      <c r="AJ1288" s="420"/>
      <c r="AK1288" s="420"/>
      <c r="AL1288" s="420"/>
      <c r="AM1288" s="420"/>
      <c r="AN1288" s="420"/>
      <c r="AO1288" s="420"/>
      <c r="AP1288" s="420"/>
      <c r="AQ1288" s="420"/>
      <c r="AR1288" s="420"/>
      <c r="AS1288" s="420"/>
      <c r="AT1288" s="420"/>
      <c r="AU1288" s="420"/>
      <c r="AV1288" s="420"/>
      <c r="AW1288" s="420"/>
      <c r="AX1288" s="420"/>
      <c r="AY1288" s="420"/>
      <c r="AZ1288" s="420"/>
      <c r="BA1288" s="420"/>
      <c r="BB1288" s="420"/>
      <c r="BC1288" s="420"/>
      <c r="BD1288" s="420"/>
      <c r="BE1288" s="420"/>
      <c r="BF1288" s="420"/>
      <c r="BG1288" s="420"/>
      <c r="BH1288" s="420"/>
      <c r="BI1288" s="420"/>
      <c r="BJ1288" s="420"/>
      <c r="BK1288" s="420"/>
      <c r="BL1288" s="420"/>
      <c r="BM1288" s="420"/>
      <c r="BN1288" s="420"/>
      <c r="BO1288" s="420"/>
      <c r="BP1288" s="420"/>
      <c r="BQ1288" s="420"/>
      <c r="BR1288" s="420"/>
      <c r="BS1288" s="420"/>
      <c r="BT1288" s="420"/>
      <c r="BU1288" s="420"/>
      <c r="BV1288" s="420"/>
      <c r="BW1288" s="420"/>
      <c r="BX1288" s="420"/>
      <c r="BY1288" s="420"/>
      <c r="BZ1288" s="420"/>
      <c r="CA1288" s="420"/>
      <c r="CB1288" s="420"/>
      <c r="CC1288" s="420"/>
      <c r="CD1288" s="420"/>
      <c r="CE1288" s="420"/>
      <c r="CF1288" s="420"/>
      <c r="CG1288" s="420"/>
      <c r="CH1288" s="420"/>
      <c r="CI1288" s="420"/>
      <c r="CJ1288" s="420"/>
      <c r="CK1288" s="420"/>
      <c r="CL1288" s="420"/>
      <c r="CM1288" s="420"/>
      <c r="CN1288" s="420"/>
      <c r="CO1288" s="420"/>
      <c r="CP1288" s="420"/>
      <c r="CQ1288" s="420"/>
      <c r="CR1288" s="420"/>
      <c r="CS1288" s="420"/>
      <c r="CT1288" s="420"/>
      <c r="CU1288" s="420"/>
      <c r="CV1288" s="420"/>
      <c r="CW1288" s="420"/>
      <c r="CX1288" s="420"/>
      <c r="CY1288" s="420"/>
      <c r="CZ1288" s="420"/>
      <c r="DA1288" s="420"/>
      <c r="DB1288" s="420"/>
      <c r="DC1288" s="420"/>
      <c r="DD1288" s="420"/>
      <c r="DE1288" s="420"/>
      <c r="DF1288" s="420"/>
      <c r="DG1288" s="420"/>
      <c r="DH1288" s="420"/>
      <c r="DI1288" s="420"/>
      <c r="DJ1288" s="420"/>
      <c r="DK1288" s="420"/>
      <c r="DL1288" s="420"/>
      <c r="DM1288" s="420"/>
      <c r="DN1288" s="420"/>
      <c r="DO1288" s="420"/>
      <c r="DP1288" s="420"/>
      <c r="DQ1288" s="420"/>
      <c r="DR1288" s="420"/>
      <c r="DS1288" s="420"/>
      <c r="DT1288" s="420"/>
      <c r="DU1288" s="420"/>
      <c r="DV1288" s="420"/>
      <c r="DW1288" s="420"/>
      <c r="DX1288" s="420"/>
      <c r="DY1288" s="420"/>
      <c r="DZ1288" s="420"/>
      <c r="EA1288" s="420"/>
      <c r="EB1288" s="420"/>
      <c r="EC1288" s="420"/>
      <c r="ED1288" s="420"/>
      <c r="EE1288" s="420"/>
      <c r="EF1288" s="420"/>
      <c r="EG1288" s="420"/>
      <c r="EH1288" s="420"/>
      <c r="EI1288" s="420"/>
      <c r="EJ1288" s="420"/>
      <c r="EK1288" s="420"/>
      <c r="EL1288" s="420"/>
      <c r="EM1288" s="420"/>
      <c r="EN1288" s="420"/>
      <c r="EO1288" s="420"/>
      <c r="EP1288" s="420"/>
      <c r="EQ1288" s="420"/>
      <c r="ER1288" s="420"/>
      <c r="ES1288" s="420"/>
      <c r="ET1288" s="420"/>
      <c r="EU1288" s="420"/>
      <c r="EV1288" s="420"/>
      <c r="EW1288" s="420"/>
      <c r="EX1288" s="420"/>
      <c r="EY1288" s="420"/>
      <c r="EZ1288" s="420"/>
      <c r="FA1288" s="420"/>
      <c r="FB1288" s="420"/>
      <c r="FC1288" s="420"/>
      <c r="FD1288" s="420"/>
      <c r="FE1288" s="420"/>
      <c r="FF1288" s="420"/>
      <c r="FG1288" s="420"/>
      <c r="FH1288" s="420"/>
      <c r="FI1288" s="420"/>
      <c r="FJ1288" s="420"/>
      <c r="FK1288" s="420"/>
      <c r="FL1288" s="420"/>
      <c r="FM1288" s="420"/>
      <c r="FN1288" s="420"/>
      <c r="FO1288" s="420"/>
      <c r="FP1288" s="420"/>
      <c r="FQ1288" s="420"/>
      <c r="FR1288" s="420"/>
      <c r="FS1288" s="420"/>
      <c r="FT1288" s="420"/>
      <c r="FU1288" s="420"/>
      <c r="FV1288" s="420"/>
      <c r="FW1288" s="420"/>
      <c r="FX1288" s="420"/>
      <c r="FY1288" s="420"/>
      <c r="IV1288" s="420"/>
    </row>
    <row r="1289" spans="1:181" s="421" customFormat="1" ht="12.75">
      <c r="A1289" s="918" t="s">
        <v>1256</v>
      </c>
      <c r="B1289" s="927" t="s">
        <v>935</v>
      </c>
      <c r="C1289" s="920" t="s">
        <v>863</v>
      </c>
      <c r="D1289" s="921">
        <v>1</v>
      </c>
      <c r="E1289" s="922"/>
      <c r="F1289" s="380">
        <f>D1289*E1289</f>
        <v>0</v>
      </c>
      <c r="G1289" s="420"/>
      <c r="H1289" s="420"/>
      <c r="I1289" s="420"/>
      <c r="J1289" s="420"/>
      <c r="K1289" s="420"/>
      <c r="L1289" s="420"/>
      <c r="M1289" s="420"/>
      <c r="N1289" s="640">
        <f t="shared" si="47"/>
        <v>0</v>
      </c>
      <c r="O1289" s="640">
        <f>N1289*D1289</f>
        <v>0</v>
      </c>
      <c r="P1289" s="420"/>
      <c r="Q1289" s="420"/>
      <c r="R1289" s="420"/>
      <c r="S1289" s="420"/>
      <c r="T1289" s="420"/>
      <c r="U1289" s="420"/>
      <c r="V1289" s="420"/>
      <c r="W1289" s="420"/>
      <c r="X1289" s="420"/>
      <c r="Y1289" s="420"/>
      <c r="Z1289" s="420"/>
      <c r="AA1289" s="420"/>
      <c r="AB1289" s="420"/>
      <c r="AC1289" s="420"/>
      <c r="AD1289" s="420"/>
      <c r="AE1289" s="420"/>
      <c r="AF1289" s="420"/>
      <c r="AG1289" s="420"/>
      <c r="AH1289" s="420"/>
      <c r="AI1289" s="420"/>
      <c r="AJ1289" s="420"/>
      <c r="AK1289" s="420"/>
      <c r="AL1289" s="420"/>
      <c r="AM1289" s="420"/>
      <c r="AN1289" s="420"/>
      <c r="AO1289" s="420"/>
      <c r="AP1289" s="420"/>
      <c r="AQ1289" s="420"/>
      <c r="AR1289" s="420"/>
      <c r="AS1289" s="420"/>
      <c r="AT1289" s="420"/>
      <c r="AU1289" s="420"/>
      <c r="AV1289" s="420"/>
      <c r="AW1289" s="420"/>
      <c r="AX1289" s="420"/>
      <c r="AY1289" s="420"/>
      <c r="AZ1289" s="420"/>
      <c r="BA1289" s="420"/>
      <c r="BB1289" s="420"/>
      <c r="BC1289" s="420"/>
      <c r="BD1289" s="420"/>
      <c r="BE1289" s="420"/>
      <c r="BF1289" s="420"/>
      <c r="BG1289" s="420"/>
      <c r="BH1289" s="420"/>
      <c r="BI1289" s="420"/>
      <c r="BJ1289" s="420"/>
      <c r="BK1289" s="420"/>
      <c r="BL1289" s="420"/>
      <c r="BM1289" s="420"/>
      <c r="BN1289" s="420"/>
      <c r="BO1289" s="420"/>
      <c r="BP1289" s="420"/>
      <c r="BQ1289" s="420"/>
      <c r="BR1289" s="420"/>
      <c r="BS1289" s="420"/>
      <c r="BT1289" s="420"/>
      <c r="BU1289" s="420"/>
      <c r="BV1289" s="420"/>
      <c r="BW1289" s="420"/>
      <c r="BX1289" s="420"/>
      <c r="BY1289" s="420"/>
      <c r="BZ1289" s="420"/>
      <c r="CA1289" s="420"/>
      <c r="CB1289" s="420"/>
      <c r="CC1289" s="420"/>
      <c r="CD1289" s="420"/>
      <c r="CE1289" s="420"/>
      <c r="CF1289" s="420"/>
      <c r="CG1289" s="420"/>
      <c r="CH1289" s="420"/>
      <c r="CI1289" s="420"/>
      <c r="CJ1289" s="420"/>
      <c r="CK1289" s="420"/>
      <c r="CL1289" s="420"/>
      <c r="CM1289" s="420"/>
      <c r="CN1289" s="420"/>
      <c r="CO1289" s="420"/>
      <c r="CP1289" s="420"/>
      <c r="CQ1289" s="420"/>
      <c r="CR1289" s="420"/>
      <c r="CS1289" s="420"/>
      <c r="CT1289" s="420"/>
      <c r="CU1289" s="420"/>
      <c r="CV1289" s="420"/>
      <c r="CW1289" s="420"/>
      <c r="CX1289" s="420"/>
      <c r="CY1289" s="420"/>
      <c r="CZ1289" s="420"/>
      <c r="DA1289" s="420"/>
      <c r="DB1289" s="420"/>
      <c r="DC1289" s="420"/>
      <c r="DD1289" s="420"/>
      <c r="DE1289" s="420"/>
      <c r="DF1289" s="420"/>
      <c r="DG1289" s="420"/>
      <c r="DH1289" s="420"/>
      <c r="DI1289" s="420"/>
      <c r="DJ1289" s="420"/>
      <c r="DK1289" s="420"/>
      <c r="DL1289" s="420"/>
      <c r="DM1289" s="420"/>
      <c r="DN1289" s="420"/>
      <c r="DO1289" s="420"/>
      <c r="DP1289" s="420"/>
      <c r="DQ1289" s="420"/>
      <c r="DR1289" s="420"/>
      <c r="DS1289" s="420"/>
      <c r="DT1289" s="420"/>
      <c r="DU1289" s="420"/>
      <c r="DV1289" s="420"/>
      <c r="DW1289" s="420"/>
      <c r="DX1289" s="420"/>
      <c r="DY1289" s="420"/>
      <c r="DZ1289" s="420"/>
      <c r="EA1289" s="420"/>
      <c r="EB1289" s="420"/>
      <c r="EC1289" s="420"/>
      <c r="ED1289" s="420"/>
      <c r="EE1289" s="420"/>
      <c r="EF1289" s="420"/>
      <c r="EG1289" s="420"/>
      <c r="EH1289" s="420"/>
      <c r="EI1289" s="420"/>
      <c r="EJ1289" s="420"/>
      <c r="EK1289" s="420"/>
      <c r="EL1289" s="420"/>
      <c r="EM1289" s="420"/>
      <c r="EN1289" s="420"/>
      <c r="EO1289" s="420"/>
      <c r="EP1289" s="420"/>
      <c r="EQ1289" s="420"/>
      <c r="ER1289" s="420"/>
      <c r="ES1289" s="420"/>
      <c r="ET1289" s="420"/>
      <c r="EU1289" s="420"/>
      <c r="EV1289" s="420"/>
      <c r="EW1289" s="420"/>
      <c r="EX1289" s="420"/>
      <c r="EY1289" s="420"/>
      <c r="EZ1289" s="420"/>
      <c r="FA1289" s="420"/>
      <c r="FB1289" s="420"/>
      <c r="FC1289" s="420"/>
      <c r="FD1289" s="420"/>
      <c r="FE1289" s="420"/>
      <c r="FF1289" s="420"/>
      <c r="FG1289" s="420"/>
      <c r="FH1289" s="420"/>
      <c r="FI1289" s="420"/>
      <c r="FJ1289" s="420"/>
      <c r="FK1289" s="420"/>
      <c r="FL1289" s="420"/>
      <c r="FM1289" s="420"/>
      <c r="FN1289" s="420"/>
      <c r="FO1289" s="420"/>
      <c r="FP1289" s="420"/>
      <c r="FQ1289" s="420"/>
      <c r="FR1289" s="420"/>
      <c r="FS1289" s="420"/>
      <c r="FT1289" s="420"/>
      <c r="FU1289" s="420"/>
      <c r="FV1289" s="420"/>
      <c r="FW1289" s="420"/>
      <c r="FX1289" s="420"/>
      <c r="FY1289" s="420"/>
    </row>
    <row r="1290" spans="1:181" s="421" customFormat="1" ht="63.75">
      <c r="A1290" s="918" t="s">
        <v>1257</v>
      </c>
      <c r="B1290" s="927" t="s">
        <v>937</v>
      </c>
      <c r="C1290" s="920" t="s">
        <v>47</v>
      </c>
      <c r="D1290" s="921">
        <v>116</v>
      </c>
      <c r="E1290" s="922"/>
      <c r="F1290" s="380">
        <f>D1290*E1290</f>
        <v>0</v>
      </c>
      <c r="G1290" s="433"/>
      <c r="H1290" s="420"/>
      <c r="I1290" s="420"/>
      <c r="J1290" s="420"/>
      <c r="K1290" s="420"/>
      <c r="L1290" s="420"/>
      <c r="M1290" s="420"/>
      <c r="N1290" s="640">
        <f t="shared" si="47"/>
        <v>0</v>
      </c>
      <c r="O1290" s="640">
        <f>N1290*D1290</f>
        <v>0</v>
      </c>
      <c r="P1290" s="420"/>
      <c r="Q1290" s="420"/>
      <c r="R1290" s="420"/>
      <c r="S1290" s="420"/>
      <c r="T1290" s="420"/>
      <c r="U1290" s="420"/>
      <c r="V1290" s="420"/>
      <c r="W1290" s="420"/>
      <c r="X1290" s="420"/>
      <c r="Y1290" s="420"/>
      <c r="Z1290" s="420"/>
      <c r="AA1290" s="420"/>
      <c r="AB1290" s="420"/>
      <c r="AC1290" s="420"/>
      <c r="AD1290" s="420"/>
      <c r="AE1290" s="420"/>
      <c r="AF1290" s="420"/>
      <c r="AG1290" s="420"/>
      <c r="AH1290" s="420"/>
      <c r="AI1290" s="420"/>
      <c r="AJ1290" s="420"/>
      <c r="AK1290" s="420"/>
      <c r="AL1290" s="420"/>
      <c r="AM1290" s="420"/>
      <c r="AN1290" s="420"/>
      <c r="AO1290" s="420"/>
      <c r="AP1290" s="420"/>
      <c r="AQ1290" s="420"/>
      <c r="AR1290" s="420"/>
      <c r="AS1290" s="420"/>
      <c r="AT1290" s="420"/>
      <c r="AU1290" s="420"/>
      <c r="AV1290" s="420"/>
      <c r="AW1290" s="420"/>
      <c r="AX1290" s="420"/>
      <c r="AY1290" s="420"/>
      <c r="AZ1290" s="420"/>
      <c r="BA1290" s="420"/>
      <c r="BB1290" s="420"/>
      <c r="BC1290" s="420"/>
      <c r="BD1290" s="420"/>
      <c r="BE1290" s="420"/>
      <c r="BF1290" s="420"/>
      <c r="BG1290" s="420"/>
      <c r="BH1290" s="420"/>
      <c r="BI1290" s="420"/>
      <c r="BJ1290" s="420"/>
      <c r="BK1290" s="420"/>
      <c r="BL1290" s="420"/>
      <c r="BM1290" s="420"/>
      <c r="BN1290" s="420"/>
      <c r="BO1290" s="420"/>
      <c r="BP1290" s="420"/>
      <c r="BQ1290" s="420"/>
      <c r="BR1290" s="420"/>
      <c r="BS1290" s="420"/>
      <c r="BT1290" s="420"/>
      <c r="BU1290" s="420"/>
      <c r="BV1290" s="420"/>
      <c r="BW1290" s="420"/>
      <c r="BX1290" s="420"/>
      <c r="BY1290" s="420"/>
      <c r="BZ1290" s="420"/>
      <c r="CA1290" s="420"/>
      <c r="CB1290" s="420"/>
      <c r="CC1290" s="420"/>
      <c r="CD1290" s="420"/>
      <c r="CE1290" s="420"/>
      <c r="CF1290" s="420"/>
      <c r="CG1290" s="420"/>
      <c r="CH1290" s="420"/>
      <c r="CI1290" s="420"/>
      <c r="CJ1290" s="420"/>
      <c r="CK1290" s="420"/>
      <c r="CL1290" s="420"/>
      <c r="CM1290" s="420"/>
      <c r="CN1290" s="420"/>
      <c r="CO1290" s="420"/>
      <c r="CP1290" s="420"/>
      <c r="CQ1290" s="420"/>
      <c r="CR1290" s="420"/>
      <c r="CS1290" s="420"/>
      <c r="CT1290" s="420"/>
      <c r="CU1290" s="420"/>
      <c r="CV1290" s="420"/>
      <c r="CW1290" s="420"/>
      <c r="CX1290" s="420"/>
      <c r="CY1290" s="420"/>
      <c r="CZ1290" s="420"/>
      <c r="DA1290" s="420"/>
      <c r="DB1290" s="420"/>
      <c r="DC1290" s="420"/>
      <c r="DD1290" s="420"/>
      <c r="DE1290" s="420"/>
      <c r="DF1290" s="420"/>
      <c r="DG1290" s="420"/>
      <c r="DH1290" s="420"/>
      <c r="DI1290" s="420"/>
      <c r="DJ1290" s="420"/>
      <c r="DK1290" s="420"/>
      <c r="DL1290" s="420"/>
      <c r="DM1290" s="420"/>
      <c r="DN1290" s="420"/>
      <c r="DO1290" s="420"/>
      <c r="DP1290" s="420"/>
      <c r="DQ1290" s="420"/>
      <c r="DR1290" s="420"/>
      <c r="DS1290" s="420"/>
      <c r="DT1290" s="420"/>
      <c r="DU1290" s="420"/>
      <c r="DV1290" s="420"/>
      <c r="DW1290" s="420"/>
      <c r="DX1290" s="420"/>
      <c r="DY1290" s="420"/>
      <c r="DZ1290" s="420"/>
      <c r="EA1290" s="420"/>
      <c r="EB1290" s="420"/>
      <c r="EC1290" s="420"/>
      <c r="ED1290" s="420"/>
      <c r="EE1290" s="420"/>
      <c r="EF1290" s="420"/>
      <c r="EG1290" s="420"/>
      <c r="EH1290" s="420"/>
      <c r="EI1290" s="420"/>
      <c r="EJ1290" s="420"/>
      <c r="EK1290" s="420"/>
      <c r="EL1290" s="420"/>
      <c r="EM1290" s="420"/>
      <c r="EN1290" s="420"/>
      <c r="EO1290" s="420"/>
      <c r="EP1290" s="420"/>
      <c r="EQ1290" s="420"/>
      <c r="ER1290" s="420"/>
      <c r="ES1290" s="420"/>
      <c r="ET1290" s="420"/>
      <c r="EU1290" s="420"/>
      <c r="EV1290" s="420"/>
      <c r="EW1290" s="420"/>
      <c r="EX1290" s="420"/>
      <c r="EY1290" s="420"/>
      <c r="EZ1290" s="420"/>
      <c r="FA1290" s="420"/>
      <c r="FB1290" s="420"/>
      <c r="FC1290" s="420"/>
      <c r="FD1290" s="420"/>
      <c r="FE1290" s="420"/>
      <c r="FF1290" s="420"/>
      <c r="FG1290" s="420"/>
      <c r="FH1290" s="420"/>
      <c r="FI1290" s="420"/>
      <c r="FJ1290" s="420"/>
      <c r="FK1290" s="420"/>
      <c r="FL1290" s="420"/>
      <c r="FM1290" s="420"/>
      <c r="FN1290" s="420"/>
      <c r="FO1290" s="420"/>
      <c r="FP1290" s="420"/>
      <c r="FQ1290" s="420"/>
      <c r="FR1290" s="420"/>
      <c r="FS1290" s="420"/>
      <c r="FT1290" s="420"/>
      <c r="FU1290" s="420"/>
      <c r="FV1290" s="420"/>
      <c r="FW1290" s="420"/>
      <c r="FX1290" s="420"/>
      <c r="FY1290" s="420"/>
    </row>
    <row r="1291" spans="1:181" s="421" customFormat="1" ht="12.75">
      <c r="A1291" s="918"/>
      <c r="B1291" s="927"/>
      <c r="C1291" s="920"/>
      <c r="D1291" s="921"/>
      <c r="E1291" s="922"/>
      <c r="F1291" s="957"/>
      <c r="G1291" s="420"/>
      <c r="H1291" s="420"/>
      <c r="I1291" s="420"/>
      <c r="J1291" s="420"/>
      <c r="K1291" s="420"/>
      <c r="L1291" s="420"/>
      <c r="M1291" s="420"/>
      <c r="N1291" s="640"/>
      <c r="O1291" s="646"/>
      <c r="P1291" s="420"/>
      <c r="Q1291" s="420"/>
      <c r="R1291" s="420"/>
      <c r="S1291" s="420"/>
      <c r="T1291" s="420"/>
      <c r="U1291" s="420"/>
      <c r="V1291" s="420"/>
      <c r="W1291" s="420"/>
      <c r="X1291" s="420"/>
      <c r="Y1291" s="420"/>
      <c r="Z1291" s="420"/>
      <c r="AA1291" s="420"/>
      <c r="AB1291" s="420"/>
      <c r="AC1291" s="420"/>
      <c r="AD1291" s="420"/>
      <c r="AE1291" s="420"/>
      <c r="AF1291" s="420"/>
      <c r="AG1291" s="420"/>
      <c r="AH1291" s="420"/>
      <c r="AI1291" s="420"/>
      <c r="AJ1291" s="420"/>
      <c r="AK1291" s="420"/>
      <c r="AL1291" s="420"/>
      <c r="AM1291" s="420"/>
      <c r="AN1291" s="420"/>
      <c r="AO1291" s="420"/>
      <c r="AP1291" s="420"/>
      <c r="AQ1291" s="420"/>
      <c r="AR1291" s="420"/>
      <c r="AS1291" s="420"/>
      <c r="AT1291" s="420"/>
      <c r="AU1291" s="420"/>
      <c r="AV1291" s="420"/>
      <c r="AW1291" s="420"/>
      <c r="AX1291" s="420"/>
      <c r="AY1291" s="420"/>
      <c r="AZ1291" s="420"/>
      <c r="BA1291" s="420"/>
      <c r="BB1291" s="420"/>
      <c r="BC1291" s="420"/>
      <c r="BD1291" s="420"/>
      <c r="BE1291" s="420"/>
      <c r="BF1291" s="420"/>
      <c r="BG1291" s="420"/>
      <c r="BH1291" s="420"/>
      <c r="BI1291" s="420"/>
      <c r="BJ1291" s="420"/>
      <c r="BK1291" s="420"/>
      <c r="BL1291" s="420"/>
      <c r="BM1291" s="420"/>
      <c r="BN1291" s="420"/>
      <c r="BO1291" s="420"/>
      <c r="BP1291" s="420"/>
      <c r="BQ1291" s="420"/>
      <c r="BR1291" s="420"/>
      <c r="BS1291" s="420"/>
      <c r="BT1291" s="420"/>
      <c r="BU1291" s="420"/>
      <c r="BV1291" s="420"/>
      <c r="BW1291" s="420"/>
      <c r="BX1291" s="420"/>
      <c r="BY1291" s="420"/>
      <c r="BZ1291" s="420"/>
      <c r="CA1291" s="420"/>
      <c r="CB1291" s="420"/>
      <c r="CC1291" s="420"/>
      <c r="CD1291" s="420"/>
      <c r="CE1291" s="420"/>
      <c r="CF1291" s="420"/>
      <c r="CG1291" s="420"/>
      <c r="CH1291" s="420"/>
      <c r="CI1291" s="420"/>
      <c r="CJ1291" s="420"/>
      <c r="CK1291" s="420"/>
      <c r="CL1291" s="420"/>
      <c r="CM1291" s="420"/>
      <c r="CN1291" s="420"/>
      <c r="CO1291" s="420"/>
      <c r="CP1291" s="420"/>
      <c r="CQ1291" s="420"/>
      <c r="CR1291" s="420"/>
      <c r="CS1291" s="420"/>
      <c r="CT1291" s="420"/>
      <c r="CU1291" s="420"/>
      <c r="CV1291" s="420"/>
      <c r="CW1291" s="420"/>
      <c r="CX1291" s="420"/>
      <c r="CY1291" s="420"/>
      <c r="CZ1291" s="420"/>
      <c r="DA1291" s="420"/>
      <c r="DB1291" s="420"/>
      <c r="DC1291" s="420"/>
      <c r="DD1291" s="420"/>
      <c r="DE1291" s="420"/>
      <c r="DF1291" s="420"/>
      <c r="DG1291" s="420"/>
      <c r="DH1291" s="420"/>
      <c r="DI1291" s="420"/>
      <c r="DJ1291" s="420"/>
      <c r="DK1291" s="420"/>
      <c r="DL1291" s="420"/>
      <c r="DM1291" s="420"/>
      <c r="DN1291" s="420"/>
      <c r="DO1291" s="420"/>
      <c r="DP1291" s="420"/>
      <c r="DQ1291" s="420"/>
      <c r="DR1291" s="420"/>
      <c r="DS1291" s="420"/>
      <c r="DT1291" s="420"/>
      <c r="DU1291" s="420"/>
      <c r="DV1291" s="420"/>
      <c r="DW1291" s="420"/>
      <c r="DX1291" s="420"/>
      <c r="DY1291" s="420"/>
      <c r="DZ1291" s="420"/>
      <c r="EA1291" s="420"/>
      <c r="EB1291" s="420"/>
      <c r="EC1291" s="420"/>
      <c r="ED1291" s="420"/>
      <c r="EE1291" s="420"/>
      <c r="EF1291" s="420"/>
      <c r="EG1291" s="420"/>
      <c r="EH1291" s="420"/>
      <c r="EI1291" s="420"/>
      <c r="EJ1291" s="420"/>
      <c r="EK1291" s="420"/>
      <c r="EL1291" s="420"/>
      <c r="EM1291" s="420"/>
      <c r="EN1291" s="420"/>
      <c r="EO1291" s="420"/>
      <c r="EP1291" s="420"/>
      <c r="EQ1291" s="420"/>
      <c r="ER1291" s="420"/>
      <c r="ES1291" s="420"/>
      <c r="ET1291" s="420"/>
      <c r="EU1291" s="420"/>
      <c r="EV1291" s="420"/>
      <c r="EW1291" s="420"/>
      <c r="EX1291" s="420"/>
      <c r="EY1291" s="420"/>
      <c r="EZ1291" s="420"/>
      <c r="FA1291" s="420"/>
      <c r="FB1291" s="420"/>
      <c r="FC1291" s="420"/>
      <c r="FD1291" s="420"/>
      <c r="FE1291" s="420"/>
      <c r="FF1291" s="420"/>
      <c r="FG1291" s="420"/>
      <c r="FH1291" s="420"/>
      <c r="FI1291" s="420"/>
      <c r="FJ1291" s="420"/>
      <c r="FK1291" s="420"/>
      <c r="FL1291" s="420"/>
      <c r="FM1291" s="420"/>
      <c r="FN1291" s="420"/>
      <c r="FO1291" s="420"/>
      <c r="FP1291" s="420"/>
      <c r="FQ1291" s="420"/>
      <c r="FR1291" s="420"/>
      <c r="FS1291" s="420"/>
      <c r="FT1291" s="420"/>
      <c r="FU1291" s="420"/>
      <c r="FV1291" s="420"/>
      <c r="FW1291" s="420"/>
      <c r="FX1291" s="420"/>
      <c r="FY1291" s="420"/>
    </row>
    <row r="1292" spans="1:181" s="421" customFormat="1" ht="15.75">
      <c r="A1292" s="959" t="s">
        <v>733</v>
      </c>
      <c r="B1292" s="960" t="s">
        <v>53</v>
      </c>
      <c r="C1292" s="961"/>
      <c r="D1292" s="962"/>
      <c r="E1292" s="962"/>
      <c r="F1292" s="964">
        <f>SUM(F1269:F1291)</f>
        <v>0</v>
      </c>
      <c r="G1292" s="963"/>
      <c r="H1292" s="963"/>
      <c r="I1292" s="963"/>
      <c r="J1292" s="963"/>
      <c r="K1292" s="963"/>
      <c r="L1292" s="963"/>
      <c r="M1292" s="963"/>
      <c r="N1292" s="911"/>
      <c r="O1292" s="964">
        <f>SUM(O1269:O1291)</f>
        <v>0</v>
      </c>
      <c r="P1292" s="420"/>
      <c r="Q1292" s="420"/>
      <c r="R1292" s="420"/>
      <c r="S1292" s="420"/>
      <c r="T1292" s="420"/>
      <c r="U1292" s="420"/>
      <c r="V1292" s="420"/>
      <c r="W1292" s="420"/>
      <c r="X1292" s="420"/>
      <c r="Y1292" s="420"/>
      <c r="Z1292" s="420"/>
      <c r="AA1292" s="420"/>
      <c r="AB1292" s="420"/>
      <c r="AC1292" s="420"/>
      <c r="AD1292" s="420"/>
      <c r="AE1292" s="420"/>
      <c r="AF1292" s="420"/>
      <c r="AG1292" s="420"/>
      <c r="AH1292" s="420"/>
      <c r="AI1292" s="420"/>
      <c r="AJ1292" s="420"/>
      <c r="AK1292" s="420"/>
      <c r="AL1292" s="420"/>
      <c r="AM1292" s="420"/>
      <c r="AN1292" s="420"/>
      <c r="AO1292" s="420"/>
      <c r="AP1292" s="420"/>
      <c r="AQ1292" s="420"/>
      <c r="AR1292" s="420"/>
      <c r="AS1292" s="420"/>
      <c r="AT1292" s="420"/>
      <c r="AU1292" s="420"/>
      <c r="AV1292" s="420"/>
      <c r="AW1292" s="420"/>
      <c r="AX1292" s="420"/>
      <c r="AY1292" s="420"/>
      <c r="AZ1292" s="420"/>
      <c r="BA1292" s="420"/>
      <c r="BB1292" s="420"/>
      <c r="BC1292" s="420"/>
      <c r="BD1292" s="420"/>
      <c r="BE1292" s="420"/>
      <c r="BF1292" s="420"/>
      <c r="BG1292" s="420"/>
      <c r="BH1292" s="420"/>
      <c r="BI1292" s="420"/>
      <c r="BJ1292" s="420"/>
      <c r="BK1292" s="420"/>
      <c r="BL1292" s="420"/>
      <c r="BM1292" s="420"/>
      <c r="BN1292" s="420"/>
      <c r="BO1292" s="420"/>
      <c r="BP1292" s="420"/>
      <c r="BQ1292" s="420"/>
      <c r="BR1292" s="420"/>
      <c r="BS1292" s="420"/>
      <c r="BT1292" s="420"/>
      <c r="BU1292" s="420"/>
      <c r="BV1292" s="420"/>
      <c r="BW1292" s="420"/>
      <c r="BX1292" s="420"/>
      <c r="BY1292" s="420"/>
      <c r="BZ1292" s="420"/>
      <c r="CA1292" s="420"/>
      <c r="CB1292" s="420"/>
      <c r="CC1292" s="420"/>
      <c r="CD1292" s="420"/>
      <c r="CE1292" s="420"/>
      <c r="CF1292" s="420"/>
      <c r="CG1292" s="420"/>
      <c r="CH1292" s="420"/>
      <c r="CI1292" s="420"/>
      <c r="CJ1292" s="420"/>
      <c r="CK1292" s="420"/>
      <c r="CL1292" s="420"/>
      <c r="CM1292" s="420"/>
      <c r="CN1292" s="420"/>
      <c r="CO1292" s="420"/>
      <c r="CP1292" s="420"/>
      <c r="CQ1292" s="420"/>
      <c r="CR1292" s="420"/>
      <c r="CS1292" s="420"/>
      <c r="CT1292" s="420"/>
      <c r="CU1292" s="420"/>
      <c r="CV1292" s="420"/>
      <c r="CW1292" s="420"/>
      <c r="CX1292" s="420"/>
      <c r="CY1292" s="420"/>
      <c r="CZ1292" s="420"/>
      <c r="DA1292" s="420"/>
      <c r="DB1292" s="420"/>
      <c r="DC1292" s="420"/>
      <c r="DD1292" s="420"/>
      <c r="DE1292" s="420"/>
      <c r="DF1292" s="420"/>
      <c r="DG1292" s="420"/>
      <c r="DH1292" s="420"/>
      <c r="DI1292" s="420"/>
      <c r="DJ1292" s="420"/>
      <c r="DK1292" s="420"/>
      <c r="DL1292" s="420"/>
      <c r="DM1292" s="420"/>
      <c r="DN1292" s="420"/>
      <c r="DO1292" s="420"/>
      <c r="DP1292" s="420"/>
      <c r="DQ1292" s="420"/>
      <c r="DR1292" s="420"/>
      <c r="DS1292" s="420"/>
      <c r="DT1292" s="420"/>
      <c r="DU1292" s="420"/>
      <c r="DV1292" s="420"/>
      <c r="DW1292" s="420"/>
      <c r="DX1292" s="420"/>
      <c r="DY1292" s="420"/>
      <c r="DZ1292" s="420"/>
      <c r="EA1292" s="420"/>
      <c r="EB1292" s="420"/>
      <c r="EC1292" s="420"/>
      <c r="ED1292" s="420"/>
      <c r="EE1292" s="420"/>
      <c r="EF1292" s="420"/>
      <c r="EG1292" s="420"/>
      <c r="EH1292" s="420"/>
      <c r="EI1292" s="420"/>
      <c r="EJ1292" s="420"/>
      <c r="EK1292" s="420"/>
      <c r="EL1292" s="420"/>
      <c r="EM1292" s="420"/>
      <c r="EN1292" s="420"/>
      <c r="EO1292" s="420"/>
      <c r="EP1292" s="420"/>
      <c r="EQ1292" s="420"/>
      <c r="ER1292" s="420"/>
      <c r="ES1292" s="420"/>
      <c r="ET1292" s="420"/>
      <c r="EU1292" s="420"/>
      <c r="EV1292" s="420"/>
      <c r="EW1292" s="420"/>
      <c r="EX1292" s="420"/>
      <c r="EY1292" s="420"/>
      <c r="EZ1292" s="420"/>
      <c r="FA1292" s="420"/>
      <c r="FB1292" s="420"/>
      <c r="FC1292" s="420"/>
      <c r="FD1292" s="420"/>
      <c r="FE1292" s="420"/>
      <c r="FF1292" s="420"/>
      <c r="FG1292" s="420"/>
      <c r="FH1292" s="420"/>
      <c r="FI1292" s="420"/>
      <c r="FJ1292" s="420"/>
      <c r="FK1292" s="420"/>
      <c r="FL1292" s="420"/>
      <c r="FM1292" s="420"/>
      <c r="FN1292" s="420"/>
      <c r="FO1292" s="420"/>
      <c r="FP1292" s="420"/>
      <c r="FQ1292" s="420"/>
      <c r="FR1292" s="420"/>
      <c r="FS1292" s="420"/>
      <c r="FT1292" s="420"/>
      <c r="FU1292" s="420"/>
      <c r="FV1292" s="420"/>
      <c r="FW1292" s="420"/>
      <c r="FX1292" s="420"/>
      <c r="FY1292" s="420"/>
    </row>
    <row r="1293" spans="1:181" s="421" customFormat="1" ht="15.75" customHeight="1">
      <c r="A1293" s="422"/>
      <c r="B1293" s="397"/>
      <c r="C1293" s="423"/>
      <c r="D1293" s="424"/>
      <c r="E1293" s="425"/>
      <c r="F1293" s="426"/>
      <c r="G1293" s="420"/>
      <c r="H1293" s="420"/>
      <c r="I1293" s="420"/>
      <c r="J1293" s="420"/>
      <c r="K1293" s="420"/>
      <c r="L1293" s="420"/>
      <c r="M1293" s="420"/>
      <c r="N1293" s="646"/>
      <c r="O1293" s="646"/>
      <c r="P1293" s="420"/>
      <c r="Q1293" s="420"/>
      <c r="R1293" s="420"/>
      <c r="S1293" s="420"/>
      <c r="T1293" s="420"/>
      <c r="U1293" s="420"/>
      <c r="V1293" s="420"/>
      <c r="W1293" s="420"/>
      <c r="X1293" s="420"/>
      <c r="Y1293" s="420"/>
      <c r="Z1293" s="420"/>
      <c r="AA1293" s="420"/>
      <c r="AB1293" s="420"/>
      <c r="AC1293" s="420"/>
      <c r="AD1293" s="420"/>
      <c r="AE1293" s="420"/>
      <c r="AF1293" s="420"/>
      <c r="AG1293" s="420"/>
      <c r="AH1293" s="420"/>
      <c r="AI1293" s="420"/>
      <c r="AJ1293" s="420"/>
      <c r="AK1293" s="420"/>
      <c r="AL1293" s="420"/>
      <c r="AM1293" s="420"/>
      <c r="AN1293" s="420"/>
      <c r="AO1293" s="420"/>
      <c r="AP1293" s="420"/>
      <c r="AQ1293" s="420"/>
      <c r="AR1293" s="420"/>
      <c r="AS1293" s="420"/>
      <c r="AT1293" s="420"/>
      <c r="AU1293" s="420"/>
      <c r="AV1293" s="420"/>
      <c r="AW1293" s="420"/>
      <c r="AX1293" s="420"/>
      <c r="AY1293" s="420"/>
      <c r="AZ1293" s="420"/>
      <c r="BA1293" s="420"/>
      <c r="BB1293" s="420"/>
      <c r="BC1293" s="420"/>
      <c r="BD1293" s="420"/>
      <c r="BE1293" s="420"/>
      <c r="BF1293" s="420"/>
      <c r="BG1293" s="420"/>
      <c r="BH1293" s="420"/>
      <c r="BI1293" s="420"/>
      <c r="BJ1293" s="420"/>
      <c r="BK1293" s="420"/>
      <c r="BL1293" s="420"/>
      <c r="BM1293" s="420"/>
      <c r="BN1293" s="420"/>
      <c r="BO1293" s="420"/>
      <c r="BP1293" s="420"/>
      <c r="BQ1293" s="420"/>
      <c r="BR1293" s="420"/>
      <c r="BS1293" s="420"/>
      <c r="BT1293" s="420"/>
      <c r="BU1293" s="420"/>
      <c r="BV1293" s="420"/>
      <c r="BW1293" s="420"/>
      <c r="BX1293" s="420"/>
      <c r="BY1293" s="420"/>
      <c r="BZ1293" s="420"/>
      <c r="CA1293" s="420"/>
      <c r="CB1293" s="420"/>
      <c r="CC1293" s="420"/>
      <c r="CD1293" s="420"/>
      <c r="CE1293" s="420"/>
      <c r="CF1293" s="420"/>
      <c r="CG1293" s="420"/>
      <c r="CH1293" s="420"/>
      <c r="CI1293" s="420"/>
      <c r="CJ1293" s="420"/>
      <c r="CK1293" s="420"/>
      <c r="CL1293" s="420"/>
      <c r="CM1293" s="420"/>
      <c r="CN1293" s="420"/>
      <c r="CO1293" s="420"/>
      <c r="CP1293" s="420"/>
      <c r="CQ1293" s="420"/>
      <c r="CR1293" s="420"/>
      <c r="CS1293" s="420"/>
      <c r="CT1293" s="420"/>
      <c r="CU1293" s="420"/>
      <c r="CV1293" s="420"/>
      <c r="CW1293" s="420"/>
      <c r="CX1293" s="420"/>
      <c r="CY1293" s="420"/>
      <c r="CZ1293" s="420"/>
      <c r="DA1293" s="420"/>
      <c r="DB1293" s="420"/>
      <c r="DC1293" s="420"/>
      <c r="DD1293" s="420"/>
      <c r="DE1293" s="420"/>
      <c r="DF1293" s="420"/>
      <c r="DG1293" s="420"/>
      <c r="DH1293" s="420"/>
      <c r="DI1293" s="420"/>
      <c r="DJ1293" s="420"/>
      <c r="DK1293" s="420"/>
      <c r="DL1293" s="420"/>
      <c r="DM1293" s="420"/>
      <c r="DN1293" s="420"/>
      <c r="DO1293" s="420"/>
      <c r="DP1293" s="420"/>
      <c r="DQ1293" s="420"/>
      <c r="DR1293" s="420"/>
      <c r="DS1293" s="420"/>
      <c r="DT1293" s="420"/>
      <c r="DU1293" s="420"/>
      <c r="DV1293" s="420"/>
      <c r="DW1293" s="420"/>
      <c r="DX1293" s="420"/>
      <c r="DY1293" s="420"/>
      <c r="DZ1293" s="420"/>
      <c r="EA1293" s="420"/>
      <c r="EB1293" s="420"/>
      <c r="EC1293" s="420"/>
      <c r="ED1293" s="420"/>
      <c r="EE1293" s="420"/>
      <c r="EF1293" s="420"/>
      <c r="EG1293" s="420"/>
      <c r="EH1293" s="420"/>
      <c r="EI1293" s="420"/>
      <c r="EJ1293" s="420"/>
      <c r="EK1293" s="420"/>
      <c r="EL1293" s="420"/>
      <c r="EM1293" s="420"/>
      <c r="EN1293" s="420"/>
      <c r="EO1293" s="420"/>
      <c r="EP1293" s="420"/>
      <c r="EQ1293" s="420"/>
      <c r="ER1293" s="420"/>
      <c r="ES1293" s="420"/>
      <c r="ET1293" s="420"/>
      <c r="EU1293" s="420"/>
      <c r="EV1293" s="420"/>
      <c r="EW1293" s="420"/>
      <c r="EX1293" s="420"/>
      <c r="EY1293" s="420"/>
      <c r="EZ1293" s="420"/>
      <c r="FA1293" s="420"/>
      <c r="FB1293" s="420"/>
      <c r="FC1293" s="420"/>
      <c r="FD1293" s="420"/>
      <c r="FE1293" s="420"/>
      <c r="FF1293" s="420"/>
      <c r="FG1293" s="420"/>
      <c r="FH1293" s="420"/>
      <c r="FI1293" s="420"/>
      <c r="FJ1293" s="420"/>
      <c r="FK1293" s="420"/>
      <c r="FL1293" s="420"/>
      <c r="FM1293" s="420"/>
      <c r="FN1293" s="420"/>
      <c r="FO1293" s="420"/>
      <c r="FP1293" s="420"/>
      <c r="FQ1293" s="420"/>
      <c r="FR1293" s="420"/>
      <c r="FS1293" s="420"/>
      <c r="FT1293" s="420"/>
      <c r="FU1293" s="420"/>
      <c r="FV1293" s="420"/>
      <c r="FW1293" s="420"/>
      <c r="FX1293" s="420"/>
      <c r="FY1293" s="420"/>
    </row>
    <row r="1294" spans="1:181" s="421" customFormat="1" ht="12.75">
      <c r="A1294" s="965" t="s">
        <v>734</v>
      </c>
      <c r="B1294" s="966" t="s">
        <v>938</v>
      </c>
      <c r="C1294" s="1198"/>
      <c r="D1294" s="1198"/>
      <c r="E1294" s="1198"/>
      <c r="F1294" s="1198"/>
      <c r="G1294" s="420"/>
      <c r="H1294" s="420"/>
      <c r="I1294" s="420"/>
      <c r="J1294" s="420"/>
      <c r="K1294" s="420"/>
      <c r="L1294" s="420"/>
      <c r="M1294" s="420"/>
      <c r="N1294" s="646"/>
      <c r="O1294" s="646"/>
      <c r="P1294" s="420"/>
      <c r="Q1294" s="420"/>
      <c r="R1294" s="420"/>
      <c r="S1294" s="420"/>
      <c r="T1294" s="420"/>
      <c r="U1294" s="420"/>
      <c r="V1294" s="420"/>
      <c r="W1294" s="420"/>
      <c r="X1294" s="420"/>
      <c r="Y1294" s="420"/>
      <c r="Z1294" s="420"/>
      <c r="AA1294" s="420"/>
      <c r="AB1294" s="420"/>
      <c r="AC1294" s="420"/>
      <c r="AD1294" s="420"/>
      <c r="AE1294" s="420"/>
      <c r="AF1294" s="420"/>
      <c r="AG1294" s="420"/>
      <c r="AH1294" s="420"/>
      <c r="AI1294" s="420"/>
      <c r="AJ1294" s="420"/>
      <c r="AK1294" s="420"/>
      <c r="AL1294" s="420"/>
      <c r="AM1294" s="420"/>
      <c r="AN1294" s="420"/>
      <c r="AO1294" s="420"/>
      <c r="AP1294" s="420"/>
      <c r="AQ1294" s="420"/>
      <c r="AR1294" s="420"/>
      <c r="AS1294" s="420"/>
      <c r="AT1294" s="420"/>
      <c r="AU1294" s="420"/>
      <c r="AV1294" s="420"/>
      <c r="AW1294" s="420"/>
      <c r="AX1294" s="420"/>
      <c r="AY1294" s="420"/>
      <c r="AZ1294" s="420"/>
      <c r="BA1294" s="420"/>
      <c r="BB1294" s="420"/>
      <c r="BC1294" s="420"/>
      <c r="BD1294" s="420"/>
      <c r="BE1294" s="420"/>
      <c r="BF1294" s="420"/>
      <c r="BG1294" s="420"/>
      <c r="BH1294" s="420"/>
      <c r="BI1294" s="420"/>
      <c r="BJ1294" s="420"/>
      <c r="BK1294" s="420"/>
      <c r="BL1294" s="420"/>
      <c r="BM1294" s="420"/>
      <c r="BN1294" s="420"/>
      <c r="BO1294" s="420"/>
      <c r="BP1294" s="420"/>
      <c r="BQ1294" s="420"/>
      <c r="BR1294" s="420"/>
      <c r="BS1294" s="420"/>
      <c r="BT1294" s="420"/>
      <c r="BU1294" s="420"/>
      <c r="BV1294" s="420"/>
      <c r="BW1294" s="420"/>
      <c r="BX1294" s="420"/>
      <c r="BY1294" s="420"/>
      <c r="BZ1294" s="420"/>
      <c r="CA1294" s="420"/>
      <c r="CB1294" s="420"/>
      <c r="CC1294" s="420"/>
      <c r="CD1294" s="420"/>
      <c r="CE1294" s="420"/>
      <c r="CF1294" s="420"/>
      <c r="CG1294" s="420"/>
      <c r="CH1294" s="420"/>
      <c r="CI1294" s="420"/>
      <c r="CJ1294" s="420"/>
      <c r="CK1294" s="420"/>
      <c r="CL1294" s="420"/>
      <c r="CM1294" s="420"/>
      <c r="CN1294" s="420"/>
      <c r="CO1294" s="420"/>
      <c r="CP1294" s="420"/>
      <c r="CQ1294" s="420"/>
      <c r="CR1294" s="420"/>
      <c r="CS1294" s="420"/>
      <c r="CT1294" s="420"/>
      <c r="CU1294" s="420"/>
      <c r="CV1294" s="420"/>
      <c r="CW1294" s="420"/>
      <c r="CX1294" s="420"/>
      <c r="CY1294" s="420"/>
      <c r="CZ1294" s="420"/>
      <c r="DA1294" s="420"/>
      <c r="DB1294" s="420"/>
      <c r="DC1294" s="420"/>
      <c r="DD1294" s="420"/>
      <c r="DE1294" s="420"/>
      <c r="DF1294" s="420"/>
      <c r="DG1294" s="420"/>
      <c r="DH1294" s="420"/>
      <c r="DI1294" s="420"/>
      <c r="DJ1294" s="420"/>
      <c r="DK1294" s="420"/>
      <c r="DL1294" s="420"/>
      <c r="DM1294" s="420"/>
      <c r="DN1294" s="420"/>
      <c r="DO1294" s="420"/>
      <c r="DP1294" s="420"/>
      <c r="DQ1294" s="420"/>
      <c r="DR1294" s="420"/>
      <c r="DS1294" s="420"/>
      <c r="DT1294" s="420"/>
      <c r="DU1294" s="420"/>
      <c r="DV1294" s="420"/>
      <c r="DW1294" s="420"/>
      <c r="DX1294" s="420"/>
      <c r="DY1294" s="420"/>
      <c r="DZ1294" s="420"/>
      <c r="EA1294" s="420"/>
      <c r="EB1294" s="420"/>
      <c r="EC1294" s="420"/>
      <c r="ED1294" s="420"/>
      <c r="EE1294" s="420"/>
      <c r="EF1294" s="420"/>
      <c r="EG1294" s="420"/>
      <c r="EH1294" s="420"/>
      <c r="EI1294" s="420"/>
      <c r="EJ1294" s="420"/>
      <c r="EK1294" s="420"/>
      <c r="EL1294" s="420"/>
      <c r="EM1294" s="420"/>
      <c r="EN1294" s="420"/>
      <c r="EO1294" s="420"/>
      <c r="EP1294" s="420"/>
      <c r="EQ1294" s="420"/>
      <c r="ER1294" s="420"/>
      <c r="ES1294" s="420"/>
      <c r="ET1294" s="420"/>
      <c r="EU1294" s="420"/>
      <c r="EV1294" s="420"/>
      <c r="EW1294" s="420"/>
      <c r="EX1294" s="420"/>
      <c r="EY1294" s="420"/>
      <c r="EZ1294" s="420"/>
      <c r="FA1294" s="420"/>
      <c r="FB1294" s="420"/>
      <c r="FC1294" s="420"/>
      <c r="FD1294" s="420"/>
      <c r="FE1294" s="420"/>
      <c r="FF1294" s="420"/>
      <c r="FG1294" s="420"/>
      <c r="FH1294" s="420"/>
      <c r="FI1294" s="420"/>
      <c r="FJ1294" s="420"/>
      <c r="FK1294" s="420"/>
      <c r="FL1294" s="420"/>
      <c r="FM1294" s="420"/>
      <c r="FN1294" s="420"/>
      <c r="FO1294" s="420"/>
      <c r="FP1294" s="420"/>
      <c r="FQ1294" s="420"/>
      <c r="FR1294" s="420"/>
      <c r="FS1294" s="420"/>
      <c r="FT1294" s="420"/>
      <c r="FU1294" s="420"/>
      <c r="FV1294" s="420"/>
      <c r="FW1294" s="420"/>
      <c r="FX1294" s="420"/>
      <c r="FY1294" s="420"/>
    </row>
    <row r="1295" spans="1:181" s="421" customFormat="1" ht="25.5">
      <c r="A1295" s="630" t="s">
        <v>38</v>
      </c>
      <c r="B1295" s="967" t="s">
        <v>39</v>
      </c>
      <c r="C1295" s="968" t="s">
        <v>40</v>
      </c>
      <c r="D1295" s="968" t="s">
        <v>41</v>
      </c>
      <c r="E1295" s="969" t="s">
        <v>1261</v>
      </c>
      <c r="F1295" s="969" t="s">
        <v>1262</v>
      </c>
      <c r="G1295" s="600"/>
      <c r="H1295" s="601"/>
      <c r="I1295" s="601"/>
      <c r="J1295" s="146"/>
      <c r="K1295" s="146"/>
      <c r="L1295" s="601"/>
      <c r="M1295" s="146"/>
      <c r="N1295" s="631" t="s">
        <v>1264</v>
      </c>
      <c r="O1295" s="631" t="s">
        <v>1263</v>
      </c>
      <c r="P1295" s="420"/>
      <c r="Q1295" s="420"/>
      <c r="R1295" s="420"/>
      <c r="S1295" s="420"/>
      <c r="T1295" s="420"/>
      <c r="U1295" s="420"/>
      <c r="V1295" s="420"/>
      <c r="W1295" s="420"/>
      <c r="X1295" s="420"/>
      <c r="Y1295" s="420"/>
      <c r="Z1295" s="420"/>
      <c r="AA1295" s="420"/>
      <c r="AB1295" s="420"/>
      <c r="AC1295" s="420"/>
      <c r="AD1295" s="420"/>
      <c r="AE1295" s="420"/>
      <c r="AF1295" s="420"/>
      <c r="AG1295" s="420"/>
      <c r="AH1295" s="420"/>
      <c r="AI1295" s="420"/>
      <c r="AJ1295" s="420"/>
      <c r="AK1295" s="420"/>
      <c r="AL1295" s="420"/>
      <c r="AM1295" s="420"/>
      <c r="AN1295" s="420"/>
      <c r="AO1295" s="420"/>
      <c r="AP1295" s="420"/>
      <c r="AQ1295" s="420"/>
      <c r="AR1295" s="420"/>
      <c r="AS1295" s="420"/>
      <c r="AT1295" s="420"/>
      <c r="AU1295" s="420"/>
      <c r="AV1295" s="420"/>
      <c r="AW1295" s="420"/>
      <c r="AX1295" s="420"/>
      <c r="AY1295" s="420"/>
      <c r="AZ1295" s="420"/>
      <c r="BA1295" s="420"/>
      <c r="BB1295" s="420"/>
      <c r="BC1295" s="420"/>
      <c r="BD1295" s="420"/>
      <c r="BE1295" s="420"/>
      <c r="BF1295" s="420"/>
      <c r="BG1295" s="420"/>
      <c r="BH1295" s="420"/>
      <c r="BI1295" s="420"/>
      <c r="BJ1295" s="420"/>
      <c r="BK1295" s="420"/>
      <c r="BL1295" s="420"/>
      <c r="BM1295" s="420"/>
      <c r="BN1295" s="420"/>
      <c r="BO1295" s="420"/>
      <c r="BP1295" s="420"/>
      <c r="BQ1295" s="420"/>
      <c r="BR1295" s="420"/>
      <c r="BS1295" s="420"/>
      <c r="BT1295" s="420"/>
      <c r="BU1295" s="420"/>
      <c r="BV1295" s="420"/>
      <c r="BW1295" s="420"/>
      <c r="BX1295" s="420"/>
      <c r="BY1295" s="420"/>
      <c r="BZ1295" s="420"/>
      <c r="CA1295" s="420"/>
      <c r="CB1295" s="420"/>
      <c r="CC1295" s="420"/>
      <c r="CD1295" s="420"/>
      <c r="CE1295" s="420"/>
      <c r="CF1295" s="420"/>
      <c r="CG1295" s="420"/>
      <c r="CH1295" s="420"/>
      <c r="CI1295" s="420"/>
      <c r="CJ1295" s="420"/>
      <c r="CK1295" s="420"/>
      <c r="CL1295" s="420"/>
      <c r="CM1295" s="420"/>
      <c r="CN1295" s="420"/>
      <c r="CO1295" s="420"/>
      <c r="CP1295" s="420"/>
      <c r="CQ1295" s="420"/>
      <c r="CR1295" s="420"/>
      <c r="CS1295" s="420"/>
      <c r="CT1295" s="420"/>
      <c r="CU1295" s="420"/>
      <c r="CV1295" s="420"/>
      <c r="CW1295" s="420"/>
      <c r="CX1295" s="420"/>
      <c r="CY1295" s="420"/>
      <c r="CZ1295" s="420"/>
      <c r="DA1295" s="420"/>
      <c r="DB1295" s="420"/>
      <c r="DC1295" s="420"/>
      <c r="DD1295" s="420"/>
      <c r="DE1295" s="420"/>
      <c r="DF1295" s="420"/>
      <c r="DG1295" s="420"/>
      <c r="DH1295" s="420"/>
      <c r="DI1295" s="420"/>
      <c r="DJ1295" s="420"/>
      <c r="DK1295" s="420"/>
      <c r="DL1295" s="420"/>
      <c r="DM1295" s="420"/>
      <c r="DN1295" s="420"/>
      <c r="DO1295" s="420"/>
      <c r="DP1295" s="420"/>
      <c r="DQ1295" s="420"/>
      <c r="DR1295" s="420"/>
      <c r="DS1295" s="420"/>
      <c r="DT1295" s="420"/>
      <c r="DU1295" s="420"/>
      <c r="DV1295" s="420"/>
      <c r="DW1295" s="420"/>
      <c r="DX1295" s="420"/>
      <c r="DY1295" s="420"/>
      <c r="DZ1295" s="420"/>
      <c r="EA1295" s="420"/>
      <c r="EB1295" s="420"/>
      <c r="EC1295" s="420"/>
      <c r="ED1295" s="420"/>
      <c r="EE1295" s="420"/>
      <c r="EF1295" s="420"/>
      <c r="EG1295" s="420"/>
      <c r="EH1295" s="420"/>
      <c r="EI1295" s="420"/>
      <c r="EJ1295" s="420"/>
      <c r="EK1295" s="420"/>
      <c r="EL1295" s="420"/>
      <c r="EM1295" s="420"/>
      <c r="EN1295" s="420"/>
      <c r="EO1295" s="420"/>
      <c r="EP1295" s="420"/>
      <c r="EQ1295" s="420"/>
      <c r="ER1295" s="420"/>
      <c r="ES1295" s="420"/>
      <c r="ET1295" s="420"/>
      <c r="EU1295" s="420"/>
      <c r="EV1295" s="420"/>
      <c r="EW1295" s="420"/>
      <c r="EX1295" s="420"/>
      <c r="EY1295" s="420"/>
      <c r="EZ1295" s="420"/>
      <c r="FA1295" s="420"/>
      <c r="FB1295" s="420"/>
      <c r="FC1295" s="420"/>
      <c r="FD1295" s="420"/>
      <c r="FE1295" s="420"/>
      <c r="FF1295" s="420"/>
      <c r="FG1295" s="420"/>
      <c r="FH1295" s="420"/>
      <c r="FI1295" s="420"/>
      <c r="FJ1295" s="420"/>
      <c r="FK1295" s="420"/>
      <c r="FL1295" s="420"/>
      <c r="FM1295" s="420"/>
      <c r="FN1295" s="420"/>
      <c r="FO1295" s="420"/>
      <c r="FP1295" s="420"/>
      <c r="FQ1295" s="420"/>
      <c r="FR1295" s="420"/>
      <c r="FS1295" s="420"/>
      <c r="FT1295" s="420"/>
      <c r="FU1295" s="420"/>
      <c r="FV1295" s="420"/>
      <c r="FW1295" s="420"/>
      <c r="FX1295" s="420"/>
      <c r="FY1295" s="420"/>
    </row>
    <row r="1296" spans="1:181" s="421" customFormat="1" ht="12.75">
      <c r="A1296" s="918"/>
      <c r="B1296" s="919"/>
      <c r="C1296" s="920"/>
      <c r="D1296" s="921"/>
      <c r="E1296" s="922"/>
      <c r="F1296" s="923"/>
      <c r="G1296" s="420"/>
      <c r="H1296" s="420"/>
      <c r="I1296" s="420"/>
      <c r="J1296" s="420"/>
      <c r="K1296" s="420"/>
      <c r="L1296" s="420"/>
      <c r="M1296" s="420"/>
      <c r="N1296" s="646"/>
      <c r="O1296" s="646"/>
      <c r="P1296" s="420"/>
      <c r="Q1296" s="420"/>
      <c r="R1296" s="420"/>
      <c r="S1296" s="420"/>
      <c r="T1296" s="420"/>
      <c r="U1296" s="420"/>
      <c r="V1296" s="420"/>
      <c r="W1296" s="420"/>
      <c r="X1296" s="420"/>
      <c r="Y1296" s="420"/>
      <c r="Z1296" s="420"/>
      <c r="AA1296" s="420"/>
      <c r="AB1296" s="420"/>
      <c r="AC1296" s="420"/>
      <c r="AD1296" s="420"/>
      <c r="AE1296" s="420"/>
      <c r="AF1296" s="420"/>
      <c r="AG1296" s="420"/>
      <c r="AH1296" s="420"/>
      <c r="AI1296" s="420"/>
      <c r="AJ1296" s="420"/>
      <c r="AK1296" s="420"/>
      <c r="AL1296" s="420"/>
      <c r="AM1296" s="420"/>
      <c r="AN1296" s="420"/>
      <c r="AO1296" s="420"/>
      <c r="AP1296" s="420"/>
      <c r="AQ1296" s="420"/>
      <c r="AR1296" s="420"/>
      <c r="AS1296" s="420"/>
      <c r="AT1296" s="420"/>
      <c r="AU1296" s="420"/>
      <c r="AV1296" s="420"/>
      <c r="AW1296" s="420"/>
      <c r="AX1296" s="420"/>
      <c r="AY1296" s="420"/>
      <c r="AZ1296" s="420"/>
      <c r="BA1296" s="420"/>
      <c r="BB1296" s="420"/>
      <c r="BC1296" s="420"/>
      <c r="BD1296" s="420"/>
      <c r="BE1296" s="420"/>
      <c r="BF1296" s="420"/>
      <c r="BG1296" s="420"/>
      <c r="BH1296" s="420"/>
      <c r="BI1296" s="420"/>
      <c r="BJ1296" s="420"/>
      <c r="BK1296" s="420"/>
      <c r="BL1296" s="420"/>
      <c r="BM1296" s="420"/>
      <c r="BN1296" s="420"/>
      <c r="BO1296" s="420"/>
      <c r="BP1296" s="420"/>
      <c r="BQ1296" s="420"/>
      <c r="BR1296" s="420"/>
      <c r="BS1296" s="420"/>
      <c r="BT1296" s="420"/>
      <c r="BU1296" s="420"/>
      <c r="BV1296" s="420"/>
      <c r="BW1296" s="420"/>
      <c r="BX1296" s="420"/>
      <c r="BY1296" s="420"/>
      <c r="BZ1296" s="420"/>
      <c r="CA1296" s="420"/>
      <c r="CB1296" s="420"/>
      <c r="CC1296" s="420"/>
      <c r="CD1296" s="420"/>
      <c r="CE1296" s="420"/>
      <c r="CF1296" s="420"/>
      <c r="CG1296" s="420"/>
      <c r="CH1296" s="420"/>
      <c r="CI1296" s="420"/>
      <c r="CJ1296" s="420"/>
      <c r="CK1296" s="420"/>
      <c r="CL1296" s="420"/>
      <c r="CM1296" s="420"/>
      <c r="CN1296" s="420"/>
      <c r="CO1296" s="420"/>
      <c r="CP1296" s="420"/>
      <c r="CQ1296" s="420"/>
      <c r="CR1296" s="420"/>
      <c r="CS1296" s="420"/>
      <c r="CT1296" s="420"/>
      <c r="CU1296" s="420"/>
      <c r="CV1296" s="420"/>
      <c r="CW1296" s="420"/>
      <c r="CX1296" s="420"/>
      <c r="CY1296" s="420"/>
      <c r="CZ1296" s="420"/>
      <c r="DA1296" s="420"/>
      <c r="DB1296" s="420"/>
      <c r="DC1296" s="420"/>
      <c r="DD1296" s="420"/>
      <c r="DE1296" s="420"/>
      <c r="DF1296" s="420"/>
      <c r="DG1296" s="420"/>
      <c r="DH1296" s="420"/>
      <c r="DI1296" s="420"/>
      <c r="DJ1296" s="420"/>
      <c r="DK1296" s="420"/>
      <c r="DL1296" s="420"/>
      <c r="DM1296" s="420"/>
      <c r="DN1296" s="420"/>
      <c r="DO1296" s="420"/>
      <c r="DP1296" s="420"/>
      <c r="DQ1296" s="420"/>
      <c r="DR1296" s="420"/>
      <c r="DS1296" s="420"/>
      <c r="DT1296" s="420"/>
      <c r="DU1296" s="420"/>
      <c r="DV1296" s="420"/>
      <c r="DW1296" s="420"/>
      <c r="DX1296" s="420"/>
      <c r="DY1296" s="420"/>
      <c r="DZ1296" s="420"/>
      <c r="EA1296" s="420"/>
      <c r="EB1296" s="420"/>
      <c r="EC1296" s="420"/>
      <c r="ED1296" s="420"/>
      <c r="EE1296" s="420"/>
      <c r="EF1296" s="420"/>
      <c r="EG1296" s="420"/>
      <c r="EH1296" s="420"/>
      <c r="EI1296" s="420"/>
      <c r="EJ1296" s="420"/>
      <c r="EK1296" s="420"/>
      <c r="EL1296" s="420"/>
      <c r="EM1296" s="420"/>
      <c r="EN1296" s="420"/>
      <c r="EO1296" s="420"/>
      <c r="EP1296" s="420"/>
      <c r="EQ1296" s="420"/>
      <c r="ER1296" s="420"/>
      <c r="ES1296" s="420"/>
      <c r="ET1296" s="420"/>
      <c r="EU1296" s="420"/>
      <c r="EV1296" s="420"/>
      <c r="EW1296" s="420"/>
      <c r="EX1296" s="420"/>
      <c r="EY1296" s="420"/>
      <c r="EZ1296" s="420"/>
      <c r="FA1296" s="420"/>
      <c r="FB1296" s="420"/>
      <c r="FC1296" s="420"/>
      <c r="FD1296" s="420"/>
      <c r="FE1296" s="420"/>
      <c r="FF1296" s="420"/>
      <c r="FG1296" s="420"/>
      <c r="FH1296" s="420"/>
      <c r="FI1296" s="420"/>
      <c r="FJ1296" s="420"/>
      <c r="FK1296" s="420"/>
      <c r="FL1296" s="420"/>
      <c r="FM1296" s="420"/>
      <c r="FN1296" s="420"/>
      <c r="FO1296" s="420"/>
      <c r="FP1296" s="420"/>
      <c r="FQ1296" s="420"/>
      <c r="FR1296" s="420"/>
      <c r="FS1296" s="420"/>
      <c r="FT1296" s="420"/>
      <c r="FU1296" s="420"/>
      <c r="FV1296" s="420"/>
      <c r="FW1296" s="420"/>
      <c r="FX1296" s="420"/>
      <c r="FY1296" s="420"/>
    </row>
    <row r="1297" spans="1:181" s="421" customFormat="1" ht="66" customHeight="1">
      <c r="A1297" s="918"/>
      <c r="B1297" s="1201" t="s">
        <v>903</v>
      </c>
      <c r="C1297" s="1202"/>
      <c r="D1297" s="1202"/>
      <c r="E1297" s="1203"/>
      <c r="F1297" s="1108"/>
      <c r="G1297" s="420"/>
      <c r="H1297" s="420"/>
      <c r="I1297" s="420"/>
      <c r="J1297" s="420"/>
      <c r="K1297" s="420"/>
      <c r="L1297" s="420"/>
      <c r="M1297" s="420"/>
      <c r="N1297" s="646"/>
      <c r="O1297" s="646"/>
      <c r="P1297" s="420"/>
      <c r="Q1297" s="420"/>
      <c r="R1297" s="420"/>
      <c r="S1297" s="420"/>
      <c r="T1297" s="420"/>
      <c r="U1297" s="420"/>
      <c r="V1297" s="420"/>
      <c r="W1297" s="420"/>
      <c r="X1297" s="420"/>
      <c r="Y1297" s="420"/>
      <c r="Z1297" s="420"/>
      <c r="AA1297" s="420"/>
      <c r="AB1297" s="420"/>
      <c r="AC1297" s="420"/>
      <c r="AD1297" s="420"/>
      <c r="AE1297" s="420"/>
      <c r="AF1297" s="420"/>
      <c r="AG1297" s="420"/>
      <c r="AH1297" s="420"/>
      <c r="AI1297" s="420"/>
      <c r="AJ1297" s="420"/>
      <c r="AK1297" s="420"/>
      <c r="AL1297" s="420"/>
      <c r="AM1297" s="420"/>
      <c r="AN1297" s="420"/>
      <c r="AO1297" s="420"/>
      <c r="AP1297" s="420"/>
      <c r="AQ1297" s="420"/>
      <c r="AR1297" s="420"/>
      <c r="AS1297" s="420"/>
      <c r="AT1297" s="420"/>
      <c r="AU1297" s="420"/>
      <c r="AV1297" s="420"/>
      <c r="AW1297" s="420"/>
      <c r="AX1297" s="420"/>
      <c r="AY1297" s="420"/>
      <c r="AZ1297" s="420"/>
      <c r="BA1297" s="420"/>
      <c r="BB1297" s="420"/>
      <c r="BC1297" s="420"/>
      <c r="BD1297" s="420"/>
      <c r="BE1297" s="420"/>
      <c r="BF1297" s="420"/>
      <c r="BG1297" s="420"/>
      <c r="BH1297" s="420"/>
      <c r="BI1297" s="420"/>
      <c r="BJ1297" s="420"/>
      <c r="BK1297" s="420"/>
      <c r="BL1297" s="420"/>
      <c r="BM1297" s="420"/>
      <c r="BN1297" s="420"/>
      <c r="BO1297" s="420"/>
      <c r="BP1297" s="420"/>
      <c r="BQ1297" s="420"/>
      <c r="BR1297" s="420"/>
      <c r="BS1297" s="420"/>
      <c r="BT1297" s="420"/>
      <c r="BU1297" s="420"/>
      <c r="BV1297" s="420"/>
      <c r="BW1297" s="420"/>
      <c r="BX1297" s="420"/>
      <c r="BY1297" s="420"/>
      <c r="BZ1297" s="420"/>
      <c r="CA1297" s="420"/>
      <c r="CB1297" s="420"/>
      <c r="CC1297" s="420"/>
      <c r="CD1297" s="420"/>
      <c r="CE1297" s="420"/>
      <c r="CF1297" s="420"/>
      <c r="CG1297" s="420"/>
      <c r="CH1297" s="420"/>
      <c r="CI1297" s="420"/>
      <c r="CJ1297" s="420"/>
      <c r="CK1297" s="420"/>
      <c r="CL1297" s="420"/>
      <c r="CM1297" s="420"/>
      <c r="CN1297" s="420"/>
      <c r="CO1297" s="420"/>
      <c r="CP1297" s="420"/>
      <c r="CQ1297" s="420"/>
      <c r="CR1297" s="420"/>
      <c r="CS1297" s="420"/>
      <c r="CT1297" s="420"/>
      <c r="CU1297" s="420"/>
      <c r="CV1297" s="420"/>
      <c r="CW1297" s="420"/>
      <c r="CX1297" s="420"/>
      <c r="CY1297" s="420"/>
      <c r="CZ1297" s="420"/>
      <c r="DA1297" s="420"/>
      <c r="DB1297" s="420"/>
      <c r="DC1297" s="420"/>
      <c r="DD1297" s="420"/>
      <c r="DE1297" s="420"/>
      <c r="DF1297" s="420"/>
      <c r="DG1297" s="420"/>
      <c r="DH1297" s="420"/>
      <c r="DI1297" s="420"/>
      <c r="DJ1297" s="420"/>
      <c r="DK1297" s="420"/>
      <c r="DL1297" s="420"/>
      <c r="DM1297" s="420"/>
      <c r="DN1297" s="420"/>
      <c r="DO1297" s="420"/>
      <c r="DP1297" s="420"/>
      <c r="DQ1297" s="420"/>
      <c r="DR1297" s="420"/>
      <c r="DS1297" s="420"/>
      <c r="DT1297" s="420"/>
      <c r="DU1297" s="420"/>
      <c r="DV1297" s="420"/>
      <c r="DW1297" s="420"/>
      <c r="DX1297" s="420"/>
      <c r="DY1297" s="420"/>
      <c r="DZ1297" s="420"/>
      <c r="EA1297" s="420"/>
      <c r="EB1297" s="420"/>
      <c r="EC1297" s="420"/>
      <c r="ED1297" s="420"/>
      <c r="EE1297" s="420"/>
      <c r="EF1297" s="420"/>
      <c r="EG1297" s="420"/>
      <c r="EH1297" s="420"/>
      <c r="EI1297" s="420"/>
      <c r="EJ1297" s="420"/>
      <c r="EK1297" s="420"/>
      <c r="EL1297" s="420"/>
      <c r="EM1297" s="420"/>
      <c r="EN1297" s="420"/>
      <c r="EO1297" s="420"/>
      <c r="EP1297" s="420"/>
      <c r="EQ1297" s="420"/>
      <c r="ER1297" s="420"/>
      <c r="ES1297" s="420"/>
      <c r="ET1297" s="420"/>
      <c r="EU1297" s="420"/>
      <c r="EV1297" s="420"/>
      <c r="EW1297" s="420"/>
      <c r="EX1297" s="420"/>
      <c r="EY1297" s="420"/>
      <c r="EZ1297" s="420"/>
      <c r="FA1297" s="420"/>
      <c r="FB1297" s="420"/>
      <c r="FC1297" s="420"/>
      <c r="FD1297" s="420"/>
      <c r="FE1297" s="420"/>
      <c r="FF1297" s="420"/>
      <c r="FG1297" s="420"/>
      <c r="FH1297" s="420"/>
      <c r="FI1297" s="420"/>
      <c r="FJ1297" s="420"/>
      <c r="FK1297" s="420"/>
      <c r="FL1297" s="420"/>
      <c r="FM1297" s="420"/>
      <c r="FN1297" s="420"/>
      <c r="FO1297" s="420"/>
      <c r="FP1297" s="420"/>
      <c r="FQ1297" s="420"/>
      <c r="FR1297" s="420"/>
      <c r="FS1297" s="420"/>
      <c r="FT1297" s="420"/>
      <c r="FU1297" s="420"/>
      <c r="FV1297" s="420"/>
      <c r="FW1297" s="420"/>
      <c r="FX1297" s="420"/>
      <c r="FY1297" s="420"/>
    </row>
    <row r="1298" spans="1:181" s="421" customFormat="1" ht="12.75">
      <c r="A1298" s="918"/>
      <c r="B1298" s="955" t="s">
        <v>939</v>
      </c>
      <c r="C1298" s="927"/>
      <c r="D1298" s="927"/>
      <c r="E1298" s="927"/>
      <c r="F1298" s="927"/>
      <c r="G1298" s="420"/>
      <c r="H1298" s="420"/>
      <c r="I1298" s="420"/>
      <c r="J1298" s="420"/>
      <c r="K1298" s="420"/>
      <c r="L1298" s="420"/>
      <c r="M1298" s="420"/>
      <c r="N1298" s="646"/>
      <c r="O1298" s="646"/>
      <c r="P1298" s="420"/>
      <c r="Q1298" s="420"/>
      <c r="R1298" s="420"/>
      <c r="S1298" s="420"/>
      <c r="T1298" s="420"/>
      <c r="U1298" s="420"/>
      <c r="V1298" s="420"/>
      <c r="W1298" s="420"/>
      <c r="X1298" s="420"/>
      <c r="Y1298" s="420"/>
      <c r="Z1298" s="420"/>
      <c r="AA1298" s="420"/>
      <c r="AB1298" s="420"/>
      <c r="AC1298" s="420"/>
      <c r="AD1298" s="420"/>
      <c r="AE1298" s="420"/>
      <c r="AF1298" s="420"/>
      <c r="AG1298" s="420"/>
      <c r="AH1298" s="420"/>
      <c r="AI1298" s="420"/>
      <c r="AJ1298" s="420"/>
      <c r="AK1298" s="420"/>
      <c r="AL1298" s="420"/>
      <c r="AM1298" s="420"/>
      <c r="AN1298" s="420"/>
      <c r="AO1298" s="420"/>
      <c r="AP1298" s="420"/>
      <c r="AQ1298" s="420"/>
      <c r="AR1298" s="420"/>
      <c r="AS1298" s="420"/>
      <c r="AT1298" s="420"/>
      <c r="AU1298" s="420"/>
      <c r="AV1298" s="420"/>
      <c r="AW1298" s="420"/>
      <c r="AX1298" s="420"/>
      <c r="AY1298" s="420"/>
      <c r="AZ1298" s="420"/>
      <c r="BA1298" s="420"/>
      <c r="BB1298" s="420"/>
      <c r="BC1298" s="420"/>
      <c r="BD1298" s="420"/>
      <c r="BE1298" s="420"/>
      <c r="BF1298" s="420"/>
      <c r="BG1298" s="420"/>
      <c r="BH1298" s="420"/>
      <c r="BI1298" s="420"/>
      <c r="BJ1298" s="420"/>
      <c r="BK1298" s="420"/>
      <c r="BL1298" s="420"/>
      <c r="BM1298" s="420"/>
      <c r="BN1298" s="420"/>
      <c r="BO1298" s="420"/>
      <c r="BP1298" s="420"/>
      <c r="BQ1298" s="420"/>
      <c r="BR1298" s="420"/>
      <c r="BS1298" s="420"/>
      <c r="BT1298" s="420"/>
      <c r="BU1298" s="420"/>
      <c r="BV1298" s="420"/>
      <c r="BW1298" s="420"/>
      <c r="BX1298" s="420"/>
      <c r="BY1298" s="420"/>
      <c r="BZ1298" s="420"/>
      <c r="CA1298" s="420"/>
      <c r="CB1298" s="420"/>
      <c r="CC1298" s="420"/>
      <c r="CD1298" s="420"/>
      <c r="CE1298" s="420"/>
      <c r="CF1298" s="420"/>
      <c r="CG1298" s="420"/>
      <c r="CH1298" s="420"/>
      <c r="CI1298" s="420"/>
      <c r="CJ1298" s="420"/>
      <c r="CK1298" s="420"/>
      <c r="CL1298" s="420"/>
      <c r="CM1298" s="420"/>
      <c r="CN1298" s="420"/>
      <c r="CO1298" s="420"/>
      <c r="CP1298" s="420"/>
      <c r="CQ1298" s="420"/>
      <c r="CR1298" s="420"/>
      <c r="CS1298" s="420"/>
      <c r="CT1298" s="420"/>
      <c r="CU1298" s="420"/>
      <c r="CV1298" s="420"/>
      <c r="CW1298" s="420"/>
      <c r="CX1298" s="420"/>
      <c r="CY1298" s="420"/>
      <c r="CZ1298" s="420"/>
      <c r="DA1298" s="420"/>
      <c r="DB1298" s="420"/>
      <c r="DC1298" s="420"/>
      <c r="DD1298" s="420"/>
      <c r="DE1298" s="420"/>
      <c r="DF1298" s="420"/>
      <c r="DG1298" s="420"/>
      <c r="DH1298" s="420"/>
      <c r="DI1298" s="420"/>
      <c r="DJ1298" s="420"/>
      <c r="DK1298" s="420"/>
      <c r="DL1298" s="420"/>
      <c r="DM1298" s="420"/>
      <c r="DN1298" s="420"/>
      <c r="DO1298" s="420"/>
      <c r="DP1298" s="420"/>
      <c r="DQ1298" s="420"/>
      <c r="DR1298" s="420"/>
      <c r="DS1298" s="420"/>
      <c r="DT1298" s="420"/>
      <c r="DU1298" s="420"/>
      <c r="DV1298" s="420"/>
      <c r="DW1298" s="420"/>
      <c r="DX1298" s="420"/>
      <c r="DY1298" s="420"/>
      <c r="DZ1298" s="420"/>
      <c r="EA1298" s="420"/>
      <c r="EB1298" s="420"/>
      <c r="EC1298" s="420"/>
      <c r="ED1298" s="420"/>
      <c r="EE1298" s="420"/>
      <c r="EF1298" s="420"/>
      <c r="EG1298" s="420"/>
      <c r="EH1298" s="420"/>
      <c r="EI1298" s="420"/>
      <c r="EJ1298" s="420"/>
      <c r="EK1298" s="420"/>
      <c r="EL1298" s="420"/>
      <c r="EM1298" s="420"/>
      <c r="EN1298" s="420"/>
      <c r="EO1298" s="420"/>
      <c r="EP1298" s="420"/>
      <c r="EQ1298" s="420"/>
      <c r="ER1298" s="420"/>
      <c r="ES1298" s="420"/>
      <c r="ET1298" s="420"/>
      <c r="EU1298" s="420"/>
      <c r="EV1298" s="420"/>
      <c r="EW1298" s="420"/>
      <c r="EX1298" s="420"/>
      <c r="EY1298" s="420"/>
      <c r="EZ1298" s="420"/>
      <c r="FA1298" s="420"/>
      <c r="FB1298" s="420"/>
      <c r="FC1298" s="420"/>
      <c r="FD1298" s="420"/>
      <c r="FE1298" s="420"/>
      <c r="FF1298" s="420"/>
      <c r="FG1298" s="420"/>
      <c r="FH1298" s="420"/>
      <c r="FI1298" s="420"/>
      <c r="FJ1298" s="420"/>
      <c r="FK1298" s="420"/>
      <c r="FL1298" s="420"/>
      <c r="FM1298" s="420"/>
      <c r="FN1298" s="420"/>
      <c r="FO1298" s="420"/>
      <c r="FP1298" s="420"/>
      <c r="FQ1298" s="420"/>
      <c r="FR1298" s="420"/>
      <c r="FS1298" s="420"/>
      <c r="FT1298" s="420"/>
      <c r="FU1298" s="420"/>
      <c r="FV1298" s="420"/>
      <c r="FW1298" s="420"/>
      <c r="FX1298" s="420"/>
      <c r="FY1298" s="420"/>
    </row>
    <row r="1299" spans="1:181" s="421" customFormat="1" ht="63.75">
      <c r="A1299" s="918" t="s">
        <v>940</v>
      </c>
      <c r="B1299" s="927" t="s">
        <v>941</v>
      </c>
      <c r="C1299" s="927" t="s">
        <v>47</v>
      </c>
      <c r="D1299" s="970">
        <v>1</v>
      </c>
      <c r="E1299" s="922"/>
      <c r="F1299" s="380">
        <f>D1299*E1299</f>
        <v>0</v>
      </c>
      <c r="G1299" s="420"/>
      <c r="H1299" s="420"/>
      <c r="I1299" s="420"/>
      <c r="J1299" s="420"/>
      <c r="K1299" s="420"/>
      <c r="L1299" s="420"/>
      <c r="M1299" s="420"/>
      <c r="N1299" s="640">
        <f>E1299*1.2</f>
        <v>0</v>
      </c>
      <c r="O1299" s="640">
        <f>N1299*D1299</f>
        <v>0</v>
      </c>
      <c r="P1299" s="420"/>
      <c r="Q1299" s="420"/>
      <c r="R1299" s="420"/>
      <c r="S1299" s="420"/>
      <c r="T1299" s="420"/>
      <c r="U1299" s="420"/>
      <c r="V1299" s="420"/>
      <c r="W1299" s="420"/>
      <c r="X1299" s="420"/>
      <c r="Y1299" s="420"/>
      <c r="Z1299" s="420"/>
      <c r="AA1299" s="420"/>
      <c r="AB1299" s="420"/>
      <c r="AC1299" s="420"/>
      <c r="AD1299" s="420"/>
      <c r="AE1299" s="420"/>
      <c r="AF1299" s="420"/>
      <c r="AG1299" s="420"/>
      <c r="AH1299" s="420"/>
      <c r="AI1299" s="420"/>
      <c r="AJ1299" s="420"/>
      <c r="AK1299" s="420"/>
      <c r="AL1299" s="420"/>
      <c r="AM1299" s="420"/>
      <c r="AN1299" s="420"/>
      <c r="AO1299" s="420"/>
      <c r="AP1299" s="420"/>
      <c r="AQ1299" s="420"/>
      <c r="AR1299" s="420"/>
      <c r="AS1299" s="420"/>
      <c r="AT1299" s="420"/>
      <c r="AU1299" s="420"/>
      <c r="AV1299" s="420"/>
      <c r="AW1299" s="420"/>
      <c r="AX1299" s="420"/>
      <c r="AY1299" s="420"/>
      <c r="AZ1299" s="420"/>
      <c r="BA1299" s="420"/>
      <c r="BB1299" s="420"/>
      <c r="BC1299" s="420"/>
      <c r="BD1299" s="420"/>
      <c r="BE1299" s="420"/>
      <c r="BF1299" s="420"/>
      <c r="BG1299" s="420"/>
      <c r="BH1299" s="420"/>
      <c r="BI1299" s="420"/>
      <c r="BJ1299" s="420"/>
      <c r="BK1299" s="420"/>
      <c r="BL1299" s="420"/>
      <c r="BM1299" s="420"/>
      <c r="BN1299" s="420"/>
      <c r="BO1299" s="420"/>
      <c r="BP1299" s="420"/>
      <c r="BQ1299" s="420"/>
      <c r="BR1299" s="420"/>
      <c r="BS1299" s="420"/>
      <c r="BT1299" s="420"/>
      <c r="BU1299" s="420"/>
      <c r="BV1299" s="420"/>
      <c r="BW1299" s="420"/>
      <c r="BX1299" s="420"/>
      <c r="BY1299" s="420"/>
      <c r="BZ1299" s="420"/>
      <c r="CA1299" s="420"/>
      <c r="CB1299" s="420"/>
      <c r="CC1299" s="420"/>
      <c r="CD1299" s="420"/>
      <c r="CE1299" s="420"/>
      <c r="CF1299" s="420"/>
      <c r="CG1299" s="420"/>
      <c r="CH1299" s="420"/>
      <c r="CI1299" s="420"/>
      <c r="CJ1299" s="420"/>
      <c r="CK1299" s="420"/>
      <c r="CL1299" s="420"/>
      <c r="CM1299" s="420"/>
      <c r="CN1299" s="420"/>
      <c r="CO1299" s="420"/>
      <c r="CP1299" s="420"/>
      <c r="CQ1299" s="420"/>
      <c r="CR1299" s="420"/>
      <c r="CS1299" s="420"/>
      <c r="CT1299" s="420"/>
      <c r="CU1299" s="420"/>
      <c r="CV1299" s="420"/>
      <c r="CW1299" s="420"/>
      <c r="CX1299" s="420"/>
      <c r="CY1299" s="420"/>
      <c r="CZ1299" s="420"/>
      <c r="DA1299" s="420"/>
      <c r="DB1299" s="420"/>
      <c r="DC1299" s="420"/>
      <c r="DD1299" s="420"/>
      <c r="DE1299" s="420"/>
      <c r="DF1299" s="420"/>
      <c r="DG1299" s="420"/>
      <c r="DH1299" s="420"/>
      <c r="DI1299" s="420"/>
      <c r="DJ1299" s="420"/>
      <c r="DK1299" s="420"/>
      <c r="DL1299" s="420"/>
      <c r="DM1299" s="420"/>
      <c r="DN1299" s="420"/>
      <c r="DO1299" s="420"/>
      <c r="DP1299" s="420"/>
      <c r="DQ1299" s="420"/>
      <c r="DR1299" s="420"/>
      <c r="DS1299" s="420"/>
      <c r="DT1299" s="420"/>
      <c r="DU1299" s="420"/>
      <c r="DV1299" s="420"/>
      <c r="DW1299" s="420"/>
      <c r="DX1299" s="420"/>
      <c r="DY1299" s="420"/>
      <c r="DZ1299" s="420"/>
      <c r="EA1299" s="420"/>
      <c r="EB1299" s="420"/>
      <c r="EC1299" s="420"/>
      <c r="ED1299" s="420"/>
      <c r="EE1299" s="420"/>
      <c r="EF1299" s="420"/>
      <c r="EG1299" s="420"/>
      <c r="EH1299" s="420"/>
      <c r="EI1299" s="420"/>
      <c r="EJ1299" s="420"/>
      <c r="EK1299" s="420"/>
      <c r="EL1299" s="420"/>
      <c r="EM1299" s="420"/>
      <c r="EN1299" s="420"/>
      <c r="EO1299" s="420"/>
      <c r="EP1299" s="420"/>
      <c r="EQ1299" s="420"/>
      <c r="ER1299" s="420"/>
      <c r="ES1299" s="420"/>
      <c r="ET1299" s="420"/>
      <c r="EU1299" s="420"/>
      <c r="EV1299" s="420"/>
      <c r="EW1299" s="420"/>
      <c r="EX1299" s="420"/>
      <c r="EY1299" s="420"/>
      <c r="EZ1299" s="420"/>
      <c r="FA1299" s="420"/>
      <c r="FB1299" s="420"/>
      <c r="FC1299" s="420"/>
      <c r="FD1299" s="420"/>
      <c r="FE1299" s="420"/>
      <c r="FF1299" s="420"/>
      <c r="FG1299" s="420"/>
      <c r="FH1299" s="420"/>
      <c r="FI1299" s="420"/>
      <c r="FJ1299" s="420"/>
      <c r="FK1299" s="420"/>
      <c r="FL1299" s="420"/>
      <c r="FM1299" s="420"/>
      <c r="FN1299" s="420"/>
      <c r="FO1299" s="420"/>
      <c r="FP1299" s="420"/>
      <c r="FQ1299" s="420"/>
      <c r="FR1299" s="420"/>
      <c r="FS1299" s="420"/>
      <c r="FT1299" s="420"/>
      <c r="FU1299" s="420"/>
      <c r="FV1299" s="420"/>
      <c r="FW1299" s="420"/>
      <c r="FX1299" s="420"/>
      <c r="FY1299" s="420"/>
    </row>
    <row r="1300" spans="1:256" s="421" customFormat="1" ht="25.5">
      <c r="A1300" s="918"/>
      <c r="B1300" s="953" t="s">
        <v>907</v>
      </c>
      <c r="C1300" s="920"/>
      <c r="D1300" s="921"/>
      <c r="E1300" s="922"/>
      <c r="F1300" s="923">
        <f>(D1300*E1300)</f>
        <v>0</v>
      </c>
      <c r="G1300" s="420"/>
      <c r="H1300" s="420"/>
      <c r="I1300" s="420"/>
      <c r="J1300" s="420"/>
      <c r="K1300" s="420"/>
      <c r="L1300" s="420"/>
      <c r="M1300" s="420"/>
      <c r="N1300" s="646"/>
      <c r="O1300" s="646"/>
      <c r="P1300" s="420"/>
      <c r="Q1300" s="420"/>
      <c r="R1300" s="420"/>
      <c r="S1300" s="420"/>
      <c r="T1300" s="420"/>
      <c r="U1300" s="420"/>
      <c r="V1300" s="420"/>
      <c r="W1300" s="420"/>
      <c r="X1300" s="420"/>
      <c r="Y1300" s="420"/>
      <c r="Z1300" s="420"/>
      <c r="AA1300" s="420"/>
      <c r="AB1300" s="420"/>
      <c r="AC1300" s="420"/>
      <c r="AD1300" s="420"/>
      <c r="AE1300" s="420"/>
      <c r="AF1300" s="420"/>
      <c r="AG1300" s="420"/>
      <c r="AH1300" s="420"/>
      <c r="AI1300" s="420"/>
      <c r="AJ1300" s="420"/>
      <c r="AK1300" s="420"/>
      <c r="AL1300" s="420"/>
      <c r="AM1300" s="420"/>
      <c r="AN1300" s="420"/>
      <c r="AO1300" s="420"/>
      <c r="AP1300" s="420"/>
      <c r="AQ1300" s="420"/>
      <c r="AR1300" s="420"/>
      <c r="AS1300" s="420"/>
      <c r="AT1300" s="420"/>
      <c r="AU1300" s="420"/>
      <c r="AV1300" s="420"/>
      <c r="AW1300" s="420"/>
      <c r="AX1300" s="420"/>
      <c r="AY1300" s="420"/>
      <c r="AZ1300" s="420"/>
      <c r="BA1300" s="420"/>
      <c r="BB1300" s="420"/>
      <c r="BC1300" s="420"/>
      <c r="BD1300" s="420"/>
      <c r="BE1300" s="420"/>
      <c r="BF1300" s="420"/>
      <c r="BG1300" s="420"/>
      <c r="BH1300" s="420"/>
      <c r="BI1300" s="420"/>
      <c r="BJ1300" s="420"/>
      <c r="BK1300" s="420"/>
      <c r="BL1300" s="420"/>
      <c r="BM1300" s="420"/>
      <c r="BN1300" s="420"/>
      <c r="BO1300" s="420"/>
      <c r="BP1300" s="420"/>
      <c r="BQ1300" s="420"/>
      <c r="BR1300" s="420"/>
      <c r="BS1300" s="420"/>
      <c r="BT1300" s="420"/>
      <c r="BU1300" s="420"/>
      <c r="BV1300" s="420"/>
      <c r="BW1300" s="420"/>
      <c r="BX1300" s="420"/>
      <c r="BY1300" s="420"/>
      <c r="BZ1300" s="420"/>
      <c r="CA1300" s="420"/>
      <c r="CB1300" s="420"/>
      <c r="CC1300" s="420"/>
      <c r="CD1300" s="420"/>
      <c r="CE1300" s="420"/>
      <c r="CF1300" s="420"/>
      <c r="CG1300" s="420"/>
      <c r="CH1300" s="420"/>
      <c r="CI1300" s="420"/>
      <c r="CJ1300" s="420"/>
      <c r="CK1300" s="420"/>
      <c r="CL1300" s="420"/>
      <c r="CM1300" s="420"/>
      <c r="CN1300" s="420"/>
      <c r="CO1300" s="420"/>
      <c r="CP1300" s="420"/>
      <c r="CQ1300" s="420"/>
      <c r="CR1300" s="420"/>
      <c r="CS1300" s="420"/>
      <c r="CT1300" s="420"/>
      <c r="CU1300" s="420"/>
      <c r="CV1300" s="420"/>
      <c r="CW1300" s="420"/>
      <c r="CX1300" s="420"/>
      <c r="CY1300" s="420"/>
      <c r="CZ1300" s="420"/>
      <c r="DA1300" s="420"/>
      <c r="DB1300" s="420"/>
      <c r="DC1300" s="420"/>
      <c r="DD1300" s="420"/>
      <c r="DE1300" s="420"/>
      <c r="DF1300" s="420"/>
      <c r="DG1300" s="420"/>
      <c r="DH1300" s="420"/>
      <c r="DI1300" s="420"/>
      <c r="DJ1300" s="420"/>
      <c r="DK1300" s="420"/>
      <c r="DL1300" s="420"/>
      <c r="DM1300" s="420"/>
      <c r="DN1300" s="420"/>
      <c r="DO1300" s="420"/>
      <c r="DP1300" s="420"/>
      <c r="DQ1300" s="420"/>
      <c r="DR1300" s="420"/>
      <c r="DS1300" s="420"/>
      <c r="DT1300" s="420"/>
      <c r="DU1300" s="420"/>
      <c r="DV1300" s="420"/>
      <c r="DW1300" s="420"/>
      <c r="DX1300" s="420"/>
      <c r="DY1300" s="420"/>
      <c r="DZ1300" s="420"/>
      <c r="EA1300" s="420"/>
      <c r="EB1300" s="420"/>
      <c r="EC1300" s="420"/>
      <c r="ED1300" s="420"/>
      <c r="EE1300" s="420"/>
      <c r="EF1300" s="420"/>
      <c r="EG1300" s="420"/>
      <c r="EH1300" s="420"/>
      <c r="EI1300" s="420"/>
      <c r="EJ1300" s="420"/>
      <c r="EK1300" s="420"/>
      <c r="EL1300" s="420"/>
      <c r="EM1300" s="420"/>
      <c r="EN1300" s="420"/>
      <c r="EO1300" s="420"/>
      <c r="EP1300" s="420"/>
      <c r="EQ1300" s="420"/>
      <c r="ER1300" s="420"/>
      <c r="ES1300" s="420"/>
      <c r="ET1300" s="420"/>
      <c r="EU1300" s="420"/>
      <c r="EV1300" s="420"/>
      <c r="EW1300" s="420"/>
      <c r="EX1300" s="420"/>
      <c r="EY1300" s="420"/>
      <c r="EZ1300" s="420"/>
      <c r="FA1300" s="420"/>
      <c r="FB1300" s="420"/>
      <c r="FC1300" s="420"/>
      <c r="FD1300" s="420"/>
      <c r="FE1300" s="420"/>
      <c r="FF1300" s="420"/>
      <c r="FG1300" s="420"/>
      <c r="FH1300" s="420"/>
      <c r="FI1300" s="420"/>
      <c r="FJ1300" s="420"/>
      <c r="FK1300" s="420"/>
      <c r="FL1300" s="420"/>
      <c r="FM1300" s="420"/>
      <c r="FN1300" s="420"/>
      <c r="FO1300" s="420"/>
      <c r="FP1300" s="420"/>
      <c r="FQ1300" s="420"/>
      <c r="FR1300" s="420"/>
      <c r="FS1300" s="420"/>
      <c r="FT1300" s="420"/>
      <c r="FU1300" s="420"/>
      <c r="FV1300" s="420"/>
      <c r="FW1300" s="420"/>
      <c r="FX1300" s="420"/>
      <c r="FY1300" s="420"/>
      <c r="IV1300" s="420"/>
    </row>
    <row r="1301" spans="1:256" s="421" customFormat="1" ht="25.5">
      <c r="A1301" s="918" t="s">
        <v>942</v>
      </c>
      <c r="B1301" s="927" t="s">
        <v>943</v>
      </c>
      <c r="C1301" s="920" t="s">
        <v>47</v>
      </c>
      <c r="D1301" s="921">
        <v>1</v>
      </c>
      <c r="E1301" s="922"/>
      <c r="F1301" s="380">
        <f>D1301*E1301</f>
        <v>0</v>
      </c>
      <c r="G1301" s="420"/>
      <c r="H1301" s="420"/>
      <c r="I1301" s="420"/>
      <c r="J1301" s="420"/>
      <c r="K1301" s="420"/>
      <c r="L1301" s="420"/>
      <c r="M1301" s="420"/>
      <c r="N1301" s="640">
        <f>E1301*1.2</f>
        <v>0</v>
      </c>
      <c r="O1301" s="640">
        <f>N1301*D1301</f>
        <v>0</v>
      </c>
      <c r="P1301" s="420"/>
      <c r="Q1301" s="420"/>
      <c r="R1301" s="420"/>
      <c r="S1301" s="420"/>
      <c r="T1301" s="420"/>
      <c r="U1301" s="420"/>
      <c r="V1301" s="420"/>
      <c r="W1301" s="420"/>
      <c r="X1301" s="420"/>
      <c r="Y1301" s="420"/>
      <c r="Z1301" s="420"/>
      <c r="AA1301" s="420"/>
      <c r="AB1301" s="420"/>
      <c r="AC1301" s="420"/>
      <c r="AD1301" s="420"/>
      <c r="AE1301" s="420"/>
      <c r="AF1301" s="420"/>
      <c r="AG1301" s="420"/>
      <c r="AH1301" s="420"/>
      <c r="AI1301" s="420"/>
      <c r="AJ1301" s="420"/>
      <c r="AK1301" s="420"/>
      <c r="AL1301" s="420"/>
      <c r="AM1301" s="420"/>
      <c r="AN1301" s="420"/>
      <c r="AO1301" s="420"/>
      <c r="AP1301" s="420"/>
      <c r="AQ1301" s="420"/>
      <c r="AR1301" s="420"/>
      <c r="AS1301" s="420"/>
      <c r="AT1301" s="420"/>
      <c r="AU1301" s="420"/>
      <c r="AV1301" s="420"/>
      <c r="AW1301" s="420"/>
      <c r="AX1301" s="420"/>
      <c r="AY1301" s="420"/>
      <c r="AZ1301" s="420"/>
      <c r="BA1301" s="420"/>
      <c r="BB1301" s="420"/>
      <c r="BC1301" s="420"/>
      <c r="BD1301" s="420"/>
      <c r="BE1301" s="420"/>
      <c r="BF1301" s="420"/>
      <c r="BG1301" s="420"/>
      <c r="BH1301" s="420"/>
      <c r="BI1301" s="420"/>
      <c r="BJ1301" s="420"/>
      <c r="BK1301" s="420"/>
      <c r="BL1301" s="420"/>
      <c r="BM1301" s="420"/>
      <c r="BN1301" s="420"/>
      <c r="BO1301" s="420"/>
      <c r="BP1301" s="420"/>
      <c r="BQ1301" s="420"/>
      <c r="BR1301" s="420"/>
      <c r="BS1301" s="420"/>
      <c r="BT1301" s="420"/>
      <c r="BU1301" s="420"/>
      <c r="BV1301" s="420"/>
      <c r="BW1301" s="420"/>
      <c r="BX1301" s="420"/>
      <c r="BY1301" s="420"/>
      <c r="BZ1301" s="420"/>
      <c r="CA1301" s="420"/>
      <c r="CB1301" s="420"/>
      <c r="CC1301" s="420"/>
      <c r="CD1301" s="420"/>
      <c r="CE1301" s="420"/>
      <c r="CF1301" s="420"/>
      <c r="CG1301" s="420"/>
      <c r="CH1301" s="420"/>
      <c r="CI1301" s="420"/>
      <c r="CJ1301" s="420"/>
      <c r="CK1301" s="420"/>
      <c r="CL1301" s="420"/>
      <c r="CM1301" s="420"/>
      <c r="CN1301" s="420"/>
      <c r="CO1301" s="420"/>
      <c r="CP1301" s="420"/>
      <c r="CQ1301" s="420"/>
      <c r="CR1301" s="420"/>
      <c r="CS1301" s="420"/>
      <c r="CT1301" s="420"/>
      <c r="CU1301" s="420"/>
      <c r="CV1301" s="420"/>
      <c r="CW1301" s="420"/>
      <c r="CX1301" s="420"/>
      <c r="CY1301" s="420"/>
      <c r="CZ1301" s="420"/>
      <c r="DA1301" s="420"/>
      <c r="DB1301" s="420"/>
      <c r="DC1301" s="420"/>
      <c r="DD1301" s="420"/>
      <c r="DE1301" s="420"/>
      <c r="DF1301" s="420"/>
      <c r="DG1301" s="420"/>
      <c r="DH1301" s="420"/>
      <c r="DI1301" s="420"/>
      <c r="DJ1301" s="420"/>
      <c r="DK1301" s="420"/>
      <c r="DL1301" s="420"/>
      <c r="DM1301" s="420"/>
      <c r="DN1301" s="420"/>
      <c r="DO1301" s="420"/>
      <c r="DP1301" s="420"/>
      <c r="DQ1301" s="420"/>
      <c r="DR1301" s="420"/>
      <c r="DS1301" s="420"/>
      <c r="DT1301" s="420"/>
      <c r="DU1301" s="420"/>
      <c r="DV1301" s="420"/>
      <c r="DW1301" s="420"/>
      <c r="DX1301" s="420"/>
      <c r="DY1301" s="420"/>
      <c r="DZ1301" s="420"/>
      <c r="EA1301" s="420"/>
      <c r="EB1301" s="420"/>
      <c r="EC1301" s="420"/>
      <c r="ED1301" s="420"/>
      <c r="EE1301" s="420"/>
      <c r="EF1301" s="420"/>
      <c r="EG1301" s="420"/>
      <c r="EH1301" s="420"/>
      <c r="EI1301" s="420"/>
      <c r="EJ1301" s="420"/>
      <c r="EK1301" s="420"/>
      <c r="EL1301" s="420"/>
      <c r="EM1301" s="420"/>
      <c r="EN1301" s="420"/>
      <c r="EO1301" s="420"/>
      <c r="EP1301" s="420"/>
      <c r="EQ1301" s="420"/>
      <c r="ER1301" s="420"/>
      <c r="ES1301" s="420"/>
      <c r="ET1301" s="420"/>
      <c r="EU1301" s="420"/>
      <c r="EV1301" s="420"/>
      <c r="EW1301" s="420"/>
      <c r="EX1301" s="420"/>
      <c r="EY1301" s="420"/>
      <c r="EZ1301" s="420"/>
      <c r="FA1301" s="420"/>
      <c r="FB1301" s="420"/>
      <c r="FC1301" s="420"/>
      <c r="FD1301" s="420"/>
      <c r="FE1301" s="420"/>
      <c r="FF1301" s="420"/>
      <c r="FG1301" s="420"/>
      <c r="FH1301" s="420"/>
      <c r="FI1301" s="420"/>
      <c r="FJ1301" s="420"/>
      <c r="FK1301" s="420"/>
      <c r="FL1301" s="420"/>
      <c r="FM1301" s="420"/>
      <c r="FN1301" s="420"/>
      <c r="FO1301" s="420"/>
      <c r="FP1301" s="420"/>
      <c r="FQ1301" s="420"/>
      <c r="FR1301" s="420"/>
      <c r="FS1301" s="420"/>
      <c r="FT1301" s="420"/>
      <c r="FU1301" s="420"/>
      <c r="FV1301" s="420"/>
      <c r="FW1301" s="420"/>
      <c r="FX1301" s="420"/>
      <c r="FY1301" s="420"/>
      <c r="IV1301" s="420"/>
    </row>
    <row r="1302" spans="1:256" s="421" customFormat="1" ht="25.5">
      <c r="A1302" s="918" t="s">
        <v>944</v>
      </c>
      <c r="B1302" s="919" t="s">
        <v>913</v>
      </c>
      <c r="C1302" s="920" t="s">
        <v>47</v>
      </c>
      <c r="D1302" s="921">
        <v>1</v>
      </c>
      <c r="E1302" s="922"/>
      <c r="F1302" s="380">
        <f>D1302*E1302</f>
        <v>0</v>
      </c>
      <c r="G1302" s="420"/>
      <c r="H1302" s="420"/>
      <c r="I1302" s="420"/>
      <c r="J1302" s="420"/>
      <c r="K1302" s="420"/>
      <c r="L1302" s="420"/>
      <c r="M1302" s="420"/>
      <c r="N1302" s="640">
        <f>E1302*1.2</f>
        <v>0</v>
      </c>
      <c r="O1302" s="640">
        <f>N1302*D1302</f>
        <v>0</v>
      </c>
      <c r="P1302" s="420"/>
      <c r="Q1302" s="420"/>
      <c r="R1302" s="420"/>
      <c r="S1302" s="420"/>
      <c r="T1302" s="420"/>
      <c r="U1302" s="420"/>
      <c r="V1302" s="420"/>
      <c r="W1302" s="420"/>
      <c r="X1302" s="420"/>
      <c r="Y1302" s="420"/>
      <c r="Z1302" s="420"/>
      <c r="AA1302" s="420"/>
      <c r="AB1302" s="420"/>
      <c r="AC1302" s="420"/>
      <c r="AD1302" s="420"/>
      <c r="AE1302" s="420"/>
      <c r="AF1302" s="420"/>
      <c r="AG1302" s="420"/>
      <c r="AH1302" s="420"/>
      <c r="AI1302" s="420"/>
      <c r="AJ1302" s="420"/>
      <c r="AK1302" s="420"/>
      <c r="AL1302" s="420"/>
      <c r="AM1302" s="420"/>
      <c r="AN1302" s="420"/>
      <c r="AO1302" s="420"/>
      <c r="AP1302" s="420"/>
      <c r="AQ1302" s="420"/>
      <c r="AR1302" s="420"/>
      <c r="AS1302" s="420"/>
      <c r="AT1302" s="420"/>
      <c r="AU1302" s="420"/>
      <c r="AV1302" s="420"/>
      <c r="AW1302" s="420"/>
      <c r="AX1302" s="420"/>
      <c r="AY1302" s="420"/>
      <c r="AZ1302" s="420"/>
      <c r="BA1302" s="420"/>
      <c r="BB1302" s="420"/>
      <c r="BC1302" s="420"/>
      <c r="BD1302" s="420"/>
      <c r="BE1302" s="420"/>
      <c r="BF1302" s="420"/>
      <c r="BG1302" s="420"/>
      <c r="BH1302" s="420"/>
      <c r="BI1302" s="420"/>
      <c r="BJ1302" s="420"/>
      <c r="BK1302" s="420"/>
      <c r="BL1302" s="420"/>
      <c r="BM1302" s="420"/>
      <c r="BN1302" s="420"/>
      <c r="BO1302" s="420"/>
      <c r="BP1302" s="420"/>
      <c r="BQ1302" s="420"/>
      <c r="BR1302" s="420"/>
      <c r="BS1302" s="420"/>
      <c r="BT1302" s="420"/>
      <c r="BU1302" s="420"/>
      <c r="BV1302" s="420"/>
      <c r="BW1302" s="420"/>
      <c r="BX1302" s="420"/>
      <c r="BY1302" s="420"/>
      <c r="BZ1302" s="420"/>
      <c r="CA1302" s="420"/>
      <c r="CB1302" s="420"/>
      <c r="CC1302" s="420"/>
      <c r="CD1302" s="420"/>
      <c r="CE1302" s="420"/>
      <c r="CF1302" s="420"/>
      <c r="CG1302" s="420"/>
      <c r="CH1302" s="420"/>
      <c r="CI1302" s="420"/>
      <c r="CJ1302" s="420"/>
      <c r="CK1302" s="420"/>
      <c r="CL1302" s="420"/>
      <c r="CM1302" s="420"/>
      <c r="CN1302" s="420"/>
      <c r="CO1302" s="420"/>
      <c r="CP1302" s="420"/>
      <c r="CQ1302" s="420"/>
      <c r="CR1302" s="420"/>
      <c r="CS1302" s="420"/>
      <c r="CT1302" s="420"/>
      <c r="CU1302" s="420"/>
      <c r="CV1302" s="420"/>
      <c r="CW1302" s="420"/>
      <c r="CX1302" s="420"/>
      <c r="CY1302" s="420"/>
      <c r="CZ1302" s="420"/>
      <c r="DA1302" s="420"/>
      <c r="DB1302" s="420"/>
      <c r="DC1302" s="420"/>
      <c r="DD1302" s="420"/>
      <c r="DE1302" s="420"/>
      <c r="DF1302" s="420"/>
      <c r="DG1302" s="420"/>
      <c r="DH1302" s="420"/>
      <c r="DI1302" s="420"/>
      <c r="DJ1302" s="420"/>
      <c r="DK1302" s="420"/>
      <c r="DL1302" s="420"/>
      <c r="DM1302" s="420"/>
      <c r="DN1302" s="420"/>
      <c r="DO1302" s="420"/>
      <c r="DP1302" s="420"/>
      <c r="DQ1302" s="420"/>
      <c r="DR1302" s="420"/>
      <c r="DS1302" s="420"/>
      <c r="DT1302" s="420"/>
      <c r="DU1302" s="420"/>
      <c r="DV1302" s="420"/>
      <c r="DW1302" s="420"/>
      <c r="DX1302" s="420"/>
      <c r="DY1302" s="420"/>
      <c r="DZ1302" s="420"/>
      <c r="EA1302" s="420"/>
      <c r="EB1302" s="420"/>
      <c r="EC1302" s="420"/>
      <c r="ED1302" s="420"/>
      <c r="EE1302" s="420"/>
      <c r="EF1302" s="420"/>
      <c r="EG1302" s="420"/>
      <c r="EH1302" s="420"/>
      <c r="EI1302" s="420"/>
      <c r="EJ1302" s="420"/>
      <c r="EK1302" s="420"/>
      <c r="EL1302" s="420"/>
      <c r="EM1302" s="420"/>
      <c r="EN1302" s="420"/>
      <c r="EO1302" s="420"/>
      <c r="EP1302" s="420"/>
      <c r="EQ1302" s="420"/>
      <c r="ER1302" s="420"/>
      <c r="ES1302" s="420"/>
      <c r="ET1302" s="420"/>
      <c r="EU1302" s="420"/>
      <c r="EV1302" s="420"/>
      <c r="EW1302" s="420"/>
      <c r="EX1302" s="420"/>
      <c r="EY1302" s="420"/>
      <c r="EZ1302" s="420"/>
      <c r="FA1302" s="420"/>
      <c r="FB1302" s="420"/>
      <c r="FC1302" s="420"/>
      <c r="FD1302" s="420"/>
      <c r="FE1302" s="420"/>
      <c r="FF1302" s="420"/>
      <c r="FG1302" s="420"/>
      <c r="FH1302" s="420"/>
      <c r="FI1302" s="420"/>
      <c r="FJ1302" s="420"/>
      <c r="FK1302" s="420"/>
      <c r="FL1302" s="420"/>
      <c r="FM1302" s="420"/>
      <c r="FN1302" s="420"/>
      <c r="FO1302" s="420"/>
      <c r="FP1302" s="420"/>
      <c r="FQ1302" s="420"/>
      <c r="FR1302" s="420"/>
      <c r="FS1302" s="420"/>
      <c r="FT1302" s="420"/>
      <c r="FU1302" s="420"/>
      <c r="FV1302" s="420"/>
      <c r="FW1302" s="420"/>
      <c r="FX1302" s="420"/>
      <c r="FY1302" s="420"/>
      <c r="IV1302" s="420"/>
    </row>
    <row r="1303" spans="1:256" s="421" customFormat="1" ht="51">
      <c r="A1303" s="918" t="s">
        <v>945</v>
      </c>
      <c r="B1303" s="919" t="s">
        <v>915</v>
      </c>
      <c r="C1303" s="920" t="s">
        <v>47</v>
      </c>
      <c r="D1303" s="921">
        <v>4</v>
      </c>
      <c r="E1303" s="922"/>
      <c r="F1303" s="380">
        <f>D1303*E1303</f>
        <v>0</v>
      </c>
      <c r="G1303" s="420"/>
      <c r="H1303" s="420"/>
      <c r="I1303" s="420"/>
      <c r="J1303" s="420"/>
      <c r="K1303" s="420"/>
      <c r="L1303" s="420"/>
      <c r="M1303" s="420"/>
      <c r="N1303" s="640">
        <f>E1303*1.2</f>
        <v>0</v>
      </c>
      <c r="O1303" s="640">
        <f>N1303*D1303</f>
        <v>0</v>
      </c>
      <c r="P1303" s="420"/>
      <c r="Q1303" s="420"/>
      <c r="R1303" s="420"/>
      <c r="S1303" s="420"/>
      <c r="T1303" s="420"/>
      <c r="U1303" s="420"/>
      <c r="V1303" s="420"/>
      <c r="W1303" s="420"/>
      <c r="X1303" s="420"/>
      <c r="Y1303" s="420"/>
      <c r="Z1303" s="420"/>
      <c r="AA1303" s="420"/>
      <c r="AB1303" s="420"/>
      <c r="AC1303" s="420"/>
      <c r="AD1303" s="420"/>
      <c r="AE1303" s="420"/>
      <c r="AF1303" s="420"/>
      <c r="AG1303" s="420"/>
      <c r="AH1303" s="420"/>
      <c r="AI1303" s="420"/>
      <c r="AJ1303" s="420"/>
      <c r="AK1303" s="420"/>
      <c r="AL1303" s="420"/>
      <c r="AM1303" s="420"/>
      <c r="AN1303" s="420"/>
      <c r="AO1303" s="420"/>
      <c r="AP1303" s="420"/>
      <c r="AQ1303" s="420"/>
      <c r="AR1303" s="420"/>
      <c r="AS1303" s="420"/>
      <c r="AT1303" s="420"/>
      <c r="AU1303" s="420"/>
      <c r="AV1303" s="420"/>
      <c r="AW1303" s="420"/>
      <c r="AX1303" s="420"/>
      <c r="AY1303" s="420"/>
      <c r="AZ1303" s="420"/>
      <c r="BA1303" s="420"/>
      <c r="BB1303" s="420"/>
      <c r="BC1303" s="420"/>
      <c r="BD1303" s="420"/>
      <c r="BE1303" s="420"/>
      <c r="BF1303" s="420"/>
      <c r="BG1303" s="420"/>
      <c r="BH1303" s="420"/>
      <c r="BI1303" s="420"/>
      <c r="BJ1303" s="420"/>
      <c r="BK1303" s="420"/>
      <c r="BL1303" s="420"/>
      <c r="BM1303" s="420"/>
      <c r="BN1303" s="420"/>
      <c r="BO1303" s="420"/>
      <c r="BP1303" s="420"/>
      <c r="BQ1303" s="420"/>
      <c r="BR1303" s="420"/>
      <c r="BS1303" s="420"/>
      <c r="BT1303" s="420"/>
      <c r="BU1303" s="420"/>
      <c r="BV1303" s="420"/>
      <c r="BW1303" s="420"/>
      <c r="BX1303" s="420"/>
      <c r="BY1303" s="420"/>
      <c r="BZ1303" s="420"/>
      <c r="CA1303" s="420"/>
      <c r="CB1303" s="420"/>
      <c r="CC1303" s="420"/>
      <c r="CD1303" s="420"/>
      <c r="CE1303" s="420"/>
      <c r="CF1303" s="420"/>
      <c r="CG1303" s="420"/>
      <c r="CH1303" s="420"/>
      <c r="CI1303" s="420"/>
      <c r="CJ1303" s="420"/>
      <c r="CK1303" s="420"/>
      <c r="CL1303" s="420"/>
      <c r="CM1303" s="420"/>
      <c r="CN1303" s="420"/>
      <c r="CO1303" s="420"/>
      <c r="CP1303" s="420"/>
      <c r="CQ1303" s="420"/>
      <c r="CR1303" s="420"/>
      <c r="CS1303" s="420"/>
      <c r="CT1303" s="420"/>
      <c r="CU1303" s="420"/>
      <c r="CV1303" s="420"/>
      <c r="CW1303" s="420"/>
      <c r="CX1303" s="420"/>
      <c r="CY1303" s="420"/>
      <c r="CZ1303" s="420"/>
      <c r="DA1303" s="420"/>
      <c r="DB1303" s="420"/>
      <c r="DC1303" s="420"/>
      <c r="DD1303" s="420"/>
      <c r="DE1303" s="420"/>
      <c r="DF1303" s="420"/>
      <c r="DG1303" s="420"/>
      <c r="DH1303" s="420"/>
      <c r="DI1303" s="420"/>
      <c r="DJ1303" s="420"/>
      <c r="DK1303" s="420"/>
      <c r="DL1303" s="420"/>
      <c r="DM1303" s="420"/>
      <c r="DN1303" s="420"/>
      <c r="DO1303" s="420"/>
      <c r="DP1303" s="420"/>
      <c r="DQ1303" s="420"/>
      <c r="DR1303" s="420"/>
      <c r="DS1303" s="420"/>
      <c r="DT1303" s="420"/>
      <c r="DU1303" s="420"/>
      <c r="DV1303" s="420"/>
      <c r="DW1303" s="420"/>
      <c r="DX1303" s="420"/>
      <c r="DY1303" s="420"/>
      <c r="DZ1303" s="420"/>
      <c r="EA1303" s="420"/>
      <c r="EB1303" s="420"/>
      <c r="EC1303" s="420"/>
      <c r="ED1303" s="420"/>
      <c r="EE1303" s="420"/>
      <c r="EF1303" s="420"/>
      <c r="EG1303" s="420"/>
      <c r="EH1303" s="420"/>
      <c r="EI1303" s="420"/>
      <c r="EJ1303" s="420"/>
      <c r="EK1303" s="420"/>
      <c r="EL1303" s="420"/>
      <c r="EM1303" s="420"/>
      <c r="EN1303" s="420"/>
      <c r="EO1303" s="420"/>
      <c r="EP1303" s="420"/>
      <c r="EQ1303" s="420"/>
      <c r="ER1303" s="420"/>
      <c r="ES1303" s="420"/>
      <c r="ET1303" s="420"/>
      <c r="EU1303" s="420"/>
      <c r="EV1303" s="420"/>
      <c r="EW1303" s="420"/>
      <c r="EX1303" s="420"/>
      <c r="EY1303" s="420"/>
      <c r="EZ1303" s="420"/>
      <c r="FA1303" s="420"/>
      <c r="FB1303" s="420"/>
      <c r="FC1303" s="420"/>
      <c r="FD1303" s="420"/>
      <c r="FE1303" s="420"/>
      <c r="FF1303" s="420"/>
      <c r="FG1303" s="420"/>
      <c r="FH1303" s="420"/>
      <c r="FI1303" s="420"/>
      <c r="FJ1303" s="420"/>
      <c r="FK1303" s="420"/>
      <c r="FL1303" s="420"/>
      <c r="FM1303" s="420"/>
      <c r="FN1303" s="420"/>
      <c r="FO1303" s="420"/>
      <c r="FP1303" s="420"/>
      <c r="FQ1303" s="420"/>
      <c r="FR1303" s="420"/>
      <c r="FS1303" s="420"/>
      <c r="FT1303" s="420"/>
      <c r="FU1303" s="420"/>
      <c r="FV1303" s="420"/>
      <c r="FW1303" s="420"/>
      <c r="FX1303" s="420"/>
      <c r="FY1303" s="420"/>
      <c r="IV1303" s="420"/>
    </row>
    <row r="1304" spans="1:256" s="421" customFormat="1" ht="25.5">
      <c r="A1304" s="918" t="s">
        <v>946</v>
      </c>
      <c r="B1304" s="927" t="s">
        <v>947</v>
      </c>
      <c r="C1304" s="920" t="s">
        <v>47</v>
      </c>
      <c r="D1304" s="921">
        <v>1</v>
      </c>
      <c r="E1304" s="922"/>
      <c r="F1304" s="380">
        <f>D1304*E1304</f>
        <v>0</v>
      </c>
      <c r="G1304" s="420"/>
      <c r="H1304" s="420"/>
      <c r="I1304" s="420"/>
      <c r="J1304" s="420"/>
      <c r="K1304" s="420"/>
      <c r="L1304" s="420"/>
      <c r="M1304" s="420"/>
      <c r="N1304" s="640">
        <f>E1304*1.2</f>
        <v>0</v>
      </c>
      <c r="O1304" s="640">
        <f>N1304*D1304</f>
        <v>0</v>
      </c>
      <c r="P1304" s="420"/>
      <c r="Q1304" s="420"/>
      <c r="R1304" s="420"/>
      <c r="S1304" s="420"/>
      <c r="T1304" s="420"/>
      <c r="U1304" s="420"/>
      <c r="V1304" s="420"/>
      <c r="W1304" s="420"/>
      <c r="X1304" s="420"/>
      <c r="Y1304" s="420"/>
      <c r="Z1304" s="420"/>
      <c r="AA1304" s="420"/>
      <c r="AB1304" s="420"/>
      <c r="AC1304" s="420"/>
      <c r="AD1304" s="420"/>
      <c r="AE1304" s="420"/>
      <c r="AF1304" s="420"/>
      <c r="AG1304" s="420"/>
      <c r="AH1304" s="420"/>
      <c r="AI1304" s="420"/>
      <c r="AJ1304" s="420"/>
      <c r="AK1304" s="420"/>
      <c r="AL1304" s="420"/>
      <c r="AM1304" s="420"/>
      <c r="AN1304" s="420"/>
      <c r="AO1304" s="420"/>
      <c r="AP1304" s="420"/>
      <c r="AQ1304" s="420"/>
      <c r="AR1304" s="420"/>
      <c r="AS1304" s="420"/>
      <c r="AT1304" s="420"/>
      <c r="AU1304" s="420"/>
      <c r="AV1304" s="420"/>
      <c r="AW1304" s="420"/>
      <c r="AX1304" s="420"/>
      <c r="AY1304" s="420"/>
      <c r="AZ1304" s="420"/>
      <c r="BA1304" s="420"/>
      <c r="BB1304" s="420"/>
      <c r="BC1304" s="420"/>
      <c r="BD1304" s="420"/>
      <c r="BE1304" s="420"/>
      <c r="BF1304" s="420"/>
      <c r="BG1304" s="420"/>
      <c r="BH1304" s="420"/>
      <c r="BI1304" s="420"/>
      <c r="BJ1304" s="420"/>
      <c r="BK1304" s="420"/>
      <c r="BL1304" s="420"/>
      <c r="BM1304" s="420"/>
      <c r="BN1304" s="420"/>
      <c r="BO1304" s="420"/>
      <c r="BP1304" s="420"/>
      <c r="BQ1304" s="420"/>
      <c r="BR1304" s="420"/>
      <c r="BS1304" s="420"/>
      <c r="BT1304" s="420"/>
      <c r="BU1304" s="420"/>
      <c r="BV1304" s="420"/>
      <c r="BW1304" s="420"/>
      <c r="BX1304" s="420"/>
      <c r="BY1304" s="420"/>
      <c r="BZ1304" s="420"/>
      <c r="CA1304" s="420"/>
      <c r="CB1304" s="420"/>
      <c r="CC1304" s="420"/>
      <c r="CD1304" s="420"/>
      <c r="CE1304" s="420"/>
      <c r="CF1304" s="420"/>
      <c r="CG1304" s="420"/>
      <c r="CH1304" s="420"/>
      <c r="CI1304" s="420"/>
      <c r="CJ1304" s="420"/>
      <c r="CK1304" s="420"/>
      <c r="CL1304" s="420"/>
      <c r="CM1304" s="420"/>
      <c r="CN1304" s="420"/>
      <c r="CO1304" s="420"/>
      <c r="CP1304" s="420"/>
      <c r="CQ1304" s="420"/>
      <c r="CR1304" s="420"/>
      <c r="CS1304" s="420"/>
      <c r="CT1304" s="420"/>
      <c r="CU1304" s="420"/>
      <c r="CV1304" s="420"/>
      <c r="CW1304" s="420"/>
      <c r="CX1304" s="420"/>
      <c r="CY1304" s="420"/>
      <c r="CZ1304" s="420"/>
      <c r="DA1304" s="420"/>
      <c r="DB1304" s="420"/>
      <c r="DC1304" s="420"/>
      <c r="DD1304" s="420"/>
      <c r="DE1304" s="420"/>
      <c r="DF1304" s="420"/>
      <c r="DG1304" s="420"/>
      <c r="DH1304" s="420"/>
      <c r="DI1304" s="420"/>
      <c r="DJ1304" s="420"/>
      <c r="DK1304" s="420"/>
      <c r="DL1304" s="420"/>
      <c r="DM1304" s="420"/>
      <c r="DN1304" s="420"/>
      <c r="DO1304" s="420"/>
      <c r="DP1304" s="420"/>
      <c r="DQ1304" s="420"/>
      <c r="DR1304" s="420"/>
      <c r="DS1304" s="420"/>
      <c r="DT1304" s="420"/>
      <c r="DU1304" s="420"/>
      <c r="DV1304" s="420"/>
      <c r="DW1304" s="420"/>
      <c r="DX1304" s="420"/>
      <c r="DY1304" s="420"/>
      <c r="DZ1304" s="420"/>
      <c r="EA1304" s="420"/>
      <c r="EB1304" s="420"/>
      <c r="EC1304" s="420"/>
      <c r="ED1304" s="420"/>
      <c r="EE1304" s="420"/>
      <c r="EF1304" s="420"/>
      <c r="EG1304" s="420"/>
      <c r="EH1304" s="420"/>
      <c r="EI1304" s="420"/>
      <c r="EJ1304" s="420"/>
      <c r="EK1304" s="420"/>
      <c r="EL1304" s="420"/>
      <c r="EM1304" s="420"/>
      <c r="EN1304" s="420"/>
      <c r="EO1304" s="420"/>
      <c r="EP1304" s="420"/>
      <c r="EQ1304" s="420"/>
      <c r="ER1304" s="420"/>
      <c r="ES1304" s="420"/>
      <c r="ET1304" s="420"/>
      <c r="EU1304" s="420"/>
      <c r="EV1304" s="420"/>
      <c r="EW1304" s="420"/>
      <c r="EX1304" s="420"/>
      <c r="EY1304" s="420"/>
      <c r="EZ1304" s="420"/>
      <c r="FA1304" s="420"/>
      <c r="FB1304" s="420"/>
      <c r="FC1304" s="420"/>
      <c r="FD1304" s="420"/>
      <c r="FE1304" s="420"/>
      <c r="FF1304" s="420"/>
      <c r="FG1304" s="420"/>
      <c r="FH1304" s="420"/>
      <c r="FI1304" s="420"/>
      <c r="FJ1304" s="420"/>
      <c r="FK1304" s="420"/>
      <c r="FL1304" s="420"/>
      <c r="FM1304" s="420"/>
      <c r="FN1304" s="420"/>
      <c r="FO1304" s="420"/>
      <c r="FP1304" s="420"/>
      <c r="FQ1304" s="420"/>
      <c r="FR1304" s="420"/>
      <c r="FS1304" s="420"/>
      <c r="FT1304" s="420"/>
      <c r="FU1304" s="420"/>
      <c r="FV1304" s="420"/>
      <c r="FW1304" s="420"/>
      <c r="FX1304" s="420"/>
      <c r="FY1304" s="420"/>
      <c r="IV1304" s="420"/>
    </row>
    <row r="1305" spans="1:256" s="421" customFormat="1" ht="12.75">
      <c r="A1305" s="954"/>
      <c r="B1305" s="955" t="s">
        <v>948</v>
      </c>
      <c r="C1305" s="956"/>
      <c r="D1305" s="956"/>
      <c r="E1305" s="956"/>
      <c r="F1305" s="956"/>
      <c r="G1305" s="420"/>
      <c r="H1305" s="420"/>
      <c r="I1305" s="420"/>
      <c r="J1305" s="420"/>
      <c r="K1305" s="420"/>
      <c r="L1305" s="420"/>
      <c r="M1305" s="420"/>
      <c r="N1305" s="646"/>
      <c r="O1305" s="646"/>
      <c r="P1305" s="420"/>
      <c r="Q1305" s="420"/>
      <c r="R1305" s="420"/>
      <c r="S1305" s="420"/>
      <c r="T1305" s="420"/>
      <c r="U1305" s="420"/>
      <c r="V1305" s="420"/>
      <c r="W1305" s="420"/>
      <c r="X1305" s="420"/>
      <c r="Y1305" s="420"/>
      <c r="Z1305" s="420"/>
      <c r="AA1305" s="420"/>
      <c r="AB1305" s="420"/>
      <c r="AC1305" s="420"/>
      <c r="AD1305" s="420"/>
      <c r="AE1305" s="420"/>
      <c r="AF1305" s="420"/>
      <c r="AG1305" s="420"/>
      <c r="AH1305" s="420"/>
      <c r="AI1305" s="420"/>
      <c r="AJ1305" s="420"/>
      <c r="AK1305" s="420"/>
      <c r="AL1305" s="420"/>
      <c r="AM1305" s="420"/>
      <c r="AN1305" s="420"/>
      <c r="AO1305" s="420"/>
      <c r="AP1305" s="420"/>
      <c r="AQ1305" s="420"/>
      <c r="AR1305" s="420"/>
      <c r="AS1305" s="420"/>
      <c r="AT1305" s="420"/>
      <c r="AU1305" s="420"/>
      <c r="AV1305" s="420"/>
      <c r="AW1305" s="420"/>
      <c r="AX1305" s="420"/>
      <c r="AY1305" s="420"/>
      <c r="AZ1305" s="420"/>
      <c r="BA1305" s="420"/>
      <c r="BB1305" s="420"/>
      <c r="BC1305" s="420"/>
      <c r="BD1305" s="420"/>
      <c r="BE1305" s="420"/>
      <c r="BF1305" s="420"/>
      <c r="BG1305" s="420"/>
      <c r="BH1305" s="420"/>
      <c r="BI1305" s="420"/>
      <c r="BJ1305" s="420"/>
      <c r="BK1305" s="420"/>
      <c r="BL1305" s="420"/>
      <c r="BM1305" s="420"/>
      <c r="BN1305" s="420"/>
      <c r="BO1305" s="420"/>
      <c r="BP1305" s="420"/>
      <c r="BQ1305" s="420"/>
      <c r="BR1305" s="420"/>
      <c r="BS1305" s="420"/>
      <c r="BT1305" s="420"/>
      <c r="BU1305" s="420"/>
      <c r="BV1305" s="420"/>
      <c r="BW1305" s="420"/>
      <c r="BX1305" s="420"/>
      <c r="BY1305" s="420"/>
      <c r="BZ1305" s="420"/>
      <c r="CA1305" s="420"/>
      <c r="CB1305" s="420"/>
      <c r="CC1305" s="420"/>
      <c r="CD1305" s="420"/>
      <c r="CE1305" s="420"/>
      <c r="CF1305" s="420"/>
      <c r="CG1305" s="420"/>
      <c r="CH1305" s="420"/>
      <c r="CI1305" s="420"/>
      <c r="CJ1305" s="420"/>
      <c r="CK1305" s="420"/>
      <c r="CL1305" s="420"/>
      <c r="CM1305" s="420"/>
      <c r="CN1305" s="420"/>
      <c r="CO1305" s="420"/>
      <c r="CP1305" s="420"/>
      <c r="CQ1305" s="420"/>
      <c r="CR1305" s="420"/>
      <c r="CS1305" s="420"/>
      <c r="CT1305" s="420"/>
      <c r="CU1305" s="420"/>
      <c r="CV1305" s="420"/>
      <c r="CW1305" s="420"/>
      <c r="CX1305" s="420"/>
      <c r="CY1305" s="420"/>
      <c r="CZ1305" s="420"/>
      <c r="DA1305" s="420"/>
      <c r="DB1305" s="420"/>
      <c r="DC1305" s="420"/>
      <c r="DD1305" s="420"/>
      <c r="DE1305" s="420"/>
      <c r="DF1305" s="420"/>
      <c r="DG1305" s="420"/>
      <c r="DH1305" s="420"/>
      <c r="DI1305" s="420"/>
      <c r="DJ1305" s="420"/>
      <c r="DK1305" s="420"/>
      <c r="DL1305" s="420"/>
      <c r="DM1305" s="420"/>
      <c r="DN1305" s="420"/>
      <c r="DO1305" s="420"/>
      <c r="DP1305" s="420"/>
      <c r="DQ1305" s="420"/>
      <c r="DR1305" s="420"/>
      <c r="DS1305" s="420"/>
      <c r="DT1305" s="420"/>
      <c r="DU1305" s="420"/>
      <c r="DV1305" s="420"/>
      <c r="DW1305" s="420"/>
      <c r="DX1305" s="420"/>
      <c r="DY1305" s="420"/>
      <c r="DZ1305" s="420"/>
      <c r="EA1305" s="420"/>
      <c r="EB1305" s="420"/>
      <c r="EC1305" s="420"/>
      <c r="ED1305" s="420"/>
      <c r="EE1305" s="420"/>
      <c r="EF1305" s="420"/>
      <c r="EG1305" s="420"/>
      <c r="EH1305" s="420"/>
      <c r="EI1305" s="420"/>
      <c r="EJ1305" s="420"/>
      <c r="EK1305" s="420"/>
      <c r="EL1305" s="420"/>
      <c r="EM1305" s="420"/>
      <c r="EN1305" s="420"/>
      <c r="EO1305" s="420"/>
      <c r="EP1305" s="420"/>
      <c r="EQ1305" s="420"/>
      <c r="ER1305" s="420"/>
      <c r="ES1305" s="420"/>
      <c r="ET1305" s="420"/>
      <c r="EU1305" s="420"/>
      <c r="EV1305" s="420"/>
      <c r="EW1305" s="420"/>
      <c r="EX1305" s="420"/>
      <c r="EY1305" s="420"/>
      <c r="EZ1305" s="420"/>
      <c r="FA1305" s="420"/>
      <c r="FB1305" s="420"/>
      <c r="FC1305" s="420"/>
      <c r="FD1305" s="420"/>
      <c r="FE1305" s="420"/>
      <c r="FF1305" s="420"/>
      <c r="FG1305" s="420"/>
      <c r="FH1305" s="420"/>
      <c r="FI1305" s="420"/>
      <c r="FJ1305" s="420"/>
      <c r="FK1305" s="420"/>
      <c r="FL1305" s="420"/>
      <c r="FM1305" s="420"/>
      <c r="FN1305" s="420"/>
      <c r="FO1305" s="420"/>
      <c r="FP1305" s="420"/>
      <c r="FQ1305" s="420"/>
      <c r="FR1305" s="420"/>
      <c r="FS1305" s="420"/>
      <c r="FT1305" s="420"/>
      <c r="FU1305" s="420"/>
      <c r="FV1305" s="420"/>
      <c r="FW1305" s="420"/>
      <c r="FX1305" s="420"/>
      <c r="FY1305" s="420"/>
      <c r="IV1305" s="420"/>
    </row>
    <row r="1306" spans="1:181" s="421" customFormat="1" ht="153">
      <c r="A1306" s="971" t="s">
        <v>949</v>
      </c>
      <c r="B1306" s="927" t="s">
        <v>950</v>
      </c>
      <c r="C1306" s="970" t="s">
        <v>47</v>
      </c>
      <c r="D1306" s="921">
        <v>1</v>
      </c>
      <c r="E1306" s="922"/>
      <c r="F1306" s="380">
        <f aca="true" t="shared" si="49" ref="F1306:F1316">D1306*E1306</f>
        <v>0</v>
      </c>
      <c r="G1306" s="420"/>
      <c r="H1306" s="420"/>
      <c r="I1306" s="420"/>
      <c r="J1306" s="420"/>
      <c r="K1306" s="420"/>
      <c r="L1306" s="420"/>
      <c r="M1306" s="420"/>
      <c r="N1306" s="640">
        <f aca="true" t="shared" si="50" ref="N1306:N1316">E1306*1.2</f>
        <v>0</v>
      </c>
      <c r="O1306" s="640">
        <f aca="true" t="shared" si="51" ref="O1306:O1316">N1306*D1306</f>
        <v>0</v>
      </c>
      <c r="P1306" s="420"/>
      <c r="Q1306" s="420"/>
      <c r="R1306" s="420"/>
      <c r="S1306" s="420"/>
      <c r="T1306" s="420"/>
      <c r="U1306" s="420"/>
      <c r="V1306" s="420"/>
      <c r="W1306" s="420"/>
      <c r="X1306" s="420"/>
      <c r="Y1306" s="420"/>
      <c r="Z1306" s="420"/>
      <c r="AA1306" s="420"/>
      <c r="AB1306" s="420"/>
      <c r="AC1306" s="420"/>
      <c r="AD1306" s="420"/>
      <c r="AE1306" s="420"/>
      <c r="AF1306" s="420"/>
      <c r="AG1306" s="420"/>
      <c r="AH1306" s="420"/>
      <c r="AI1306" s="420"/>
      <c r="AJ1306" s="420"/>
      <c r="AK1306" s="420"/>
      <c r="AL1306" s="420"/>
      <c r="AM1306" s="420"/>
      <c r="AN1306" s="420"/>
      <c r="AO1306" s="420"/>
      <c r="AP1306" s="420"/>
      <c r="AQ1306" s="420"/>
      <c r="AR1306" s="420"/>
      <c r="AS1306" s="420"/>
      <c r="AT1306" s="420"/>
      <c r="AU1306" s="420"/>
      <c r="AV1306" s="420"/>
      <c r="AW1306" s="420"/>
      <c r="AX1306" s="420"/>
      <c r="AY1306" s="420"/>
      <c r="AZ1306" s="420"/>
      <c r="BA1306" s="420"/>
      <c r="BB1306" s="420"/>
      <c r="BC1306" s="420"/>
      <c r="BD1306" s="420"/>
      <c r="BE1306" s="420"/>
      <c r="BF1306" s="420"/>
      <c r="BG1306" s="420"/>
      <c r="BH1306" s="420"/>
      <c r="BI1306" s="420"/>
      <c r="BJ1306" s="420"/>
      <c r="BK1306" s="420"/>
      <c r="BL1306" s="420"/>
      <c r="BM1306" s="420"/>
      <c r="BN1306" s="420"/>
      <c r="BO1306" s="420"/>
      <c r="BP1306" s="420"/>
      <c r="BQ1306" s="420"/>
      <c r="BR1306" s="420"/>
      <c r="BS1306" s="420"/>
      <c r="BT1306" s="420"/>
      <c r="BU1306" s="420"/>
      <c r="BV1306" s="420"/>
      <c r="BW1306" s="420"/>
      <c r="BX1306" s="420"/>
      <c r="BY1306" s="420"/>
      <c r="BZ1306" s="420"/>
      <c r="CA1306" s="420"/>
      <c r="CB1306" s="420"/>
      <c r="CC1306" s="420"/>
      <c r="CD1306" s="420"/>
      <c r="CE1306" s="420"/>
      <c r="CF1306" s="420"/>
      <c r="CG1306" s="420"/>
      <c r="CH1306" s="420"/>
      <c r="CI1306" s="420"/>
      <c r="CJ1306" s="420"/>
      <c r="CK1306" s="420"/>
      <c r="CL1306" s="420"/>
      <c r="CM1306" s="420"/>
      <c r="CN1306" s="420"/>
      <c r="CO1306" s="420"/>
      <c r="CP1306" s="420"/>
      <c r="CQ1306" s="420"/>
      <c r="CR1306" s="420"/>
      <c r="CS1306" s="420"/>
      <c r="CT1306" s="420"/>
      <c r="CU1306" s="420"/>
      <c r="CV1306" s="420"/>
      <c r="CW1306" s="420"/>
      <c r="CX1306" s="420"/>
      <c r="CY1306" s="420"/>
      <c r="CZ1306" s="420"/>
      <c r="DA1306" s="420"/>
      <c r="DB1306" s="420"/>
      <c r="DC1306" s="420"/>
      <c r="DD1306" s="420"/>
      <c r="DE1306" s="420"/>
      <c r="DF1306" s="420"/>
      <c r="DG1306" s="420"/>
      <c r="DH1306" s="420"/>
      <c r="DI1306" s="420"/>
      <c r="DJ1306" s="420"/>
      <c r="DK1306" s="420"/>
      <c r="DL1306" s="420"/>
      <c r="DM1306" s="420"/>
      <c r="DN1306" s="420"/>
      <c r="DO1306" s="420"/>
      <c r="DP1306" s="420"/>
      <c r="DQ1306" s="420"/>
      <c r="DR1306" s="420"/>
      <c r="DS1306" s="420"/>
      <c r="DT1306" s="420"/>
      <c r="DU1306" s="420"/>
      <c r="DV1306" s="420"/>
      <c r="DW1306" s="420"/>
      <c r="DX1306" s="420"/>
      <c r="DY1306" s="420"/>
      <c r="DZ1306" s="420"/>
      <c r="EA1306" s="420"/>
      <c r="EB1306" s="420"/>
      <c r="EC1306" s="420"/>
      <c r="ED1306" s="420"/>
      <c r="EE1306" s="420"/>
      <c r="EF1306" s="420"/>
      <c r="EG1306" s="420"/>
      <c r="EH1306" s="420"/>
      <c r="EI1306" s="420"/>
      <c r="EJ1306" s="420"/>
      <c r="EK1306" s="420"/>
      <c r="EL1306" s="420"/>
      <c r="EM1306" s="420"/>
      <c r="EN1306" s="420"/>
      <c r="EO1306" s="420"/>
      <c r="EP1306" s="420"/>
      <c r="EQ1306" s="420"/>
      <c r="ER1306" s="420"/>
      <c r="ES1306" s="420"/>
      <c r="ET1306" s="420"/>
      <c r="EU1306" s="420"/>
      <c r="EV1306" s="420"/>
      <c r="EW1306" s="420"/>
      <c r="EX1306" s="420"/>
      <c r="EY1306" s="420"/>
      <c r="EZ1306" s="420"/>
      <c r="FA1306" s="420"/>
      <c r="FB1306" s="420"/>
      <c r="FC1306" s="420"/>
      <c r="FD1306" s="420"/>
      <c r="FE1306" s="420"/>
      <c r="FF1306" s="420"/>
      <c r="FG1306" s="420"/>
      <c r="FH1306" s="420"/>
      <c r="FI1306" s="420"/>
      <c r="FJ1306" s="420"/>
      <c r="FK1306" s="420"/>
      <c r="FL1306" s="420"/>
      <c r="FM1306" s="420"/>
      <c r="FN1306" s="420"/>
      <c r="FO1306" s="420"/>
      <c r="FP1306" s="420"/>
      <c r="FQ1306" s="420"/>
      <c r="FR1306" s="420"/>
      <c r="FS1306" s="420"/>
      <c r="FT1306" s="420"/>
      <c r="FU1306" s="420"/>
      <c r="FV1306" s="420"/>
      <c r="FW1306" s="420"/>
      <c r="FX1306" s="420"/>
      <c r="FY1306" s="420"/>
    </row>
    <row r="1307" spans="1:181" s="421" customFormat="1" ht="165.75">
      <c r="A1307" s="971" t="s">
        <v>951</v>
      </c>
      <c r="B1307" s="927" t="s">
        <v>952</v>
      </c>
      <c r="C1307" s="970" t="s">
        <v>47</v>
      </c>
      <c r="D1307" s="921">
        <v>2</v>
      </c>
      <c r="E1307" s="922"/>
      <c r="F1307" s="380">
        <f t="shared" si="49"/>
        <v>0</v>
      </c>
      <c r="G1307" s="420"/>
      <c r="H1307" s="420"/>
      <c r="I1307" s="420"/>
      <c r="J1307" s="420"/>
      <c r="K1307" s="420"/>
      <c r="L1307" s="420"/>
      <c r="M1307" s="420"/>
      <c r="N1307" s="640">
        <f t="shared" si="50"/>
        <v>0</v>
      </c>
      <c r="O1307" s="640">
        <f t="shared" si="51"/>
        <v>0</v>
      </c>
      <c r="P1307" s="420"/>
      <c r="Q1307" s="420"/>
      <c r="R1307" s="420"/>
      <c r="S1307" s="420"/>
      <c r="T1307" s="420"/>
      <c r="U1307" s="420"/>
      <c r="V1307" s="420"/>
      <c r="W1307" s="420"/>
      <c r="X1307" s="420"/>
      <c r="Y1307" s="420"/>
      <c r="Z1307" s="420"/>
      <c r="AA1307" s="420"/>
      <c r="AB1307" s="420"/>
      <c r="AC1307" s="420"/>
      <c r="AD1307" s="420"/>
      <c r="AE1307" s="420"/>
      <c r="AF1307" s="420"/>
      <c r="AG1307" s="420"/>
      <c r="AH1307" s="420"/>
      <c r="AI1307" s="420"/>
      <c r="AJ1307" s="420"/>
      <c r="AK1307" s="420"/>
      <c r="AL1307" s="420"/>
      <c r="AM1307" s="420"/>
      <c r="AN1307" s="420"/>
      <c r="AO1307" s="420"/>
      <c r="AP1307" s="420"/>
      <c r="AQ1307" s="420"/>
      <c r="AR1307" s="420"/>
      <c r="AS1307" s="420"/>
      <c r="AT1307" s="420"/>
      <c r="AU1307" s="420"/>
      <c r="AV1307" s="420"/>
      <c r="AW1307" s="420"/>
      <c r="AX1307" s="420"/>
      <c r="AY1307" s="420"/>
      <c r="AZ1307" s="420"/>
      <c r="BA1307" s="420"/>
      <c r="BB1307" s="420"/>
      <c r="BC1307" s="420"/>
      <c r="BD1307" s="420"/>
      <c r="BE1307" s="420"/>
      <c r="BF1307" s="420"/>
      <c r="BG1307" s="420"/>
      <c r="BH1307" s="420"/>
      <c r="BI1307" s="420"/>
      <c r="BJ1307" s="420"/>
      <c r="BK1307" s="420"/>
      <c r="BL1307" s="420"/>
      <c r="BM1307" s="420"/>
      <c r="BN1307" s="420"/>
      <c r="BO1307" s="420"/>
      <c r="BP1307" s="420"/>
      <c r="BQ1307" s="420"/>
      <c r="BR1307" s="420"/>
      <c r="BS1307" s="420"/>
      <c r="BT1307" s="420"/>
      <c r="BU1307" s="420"/>
      <c r="BV1307" s="420"/>
      <c r="BW1307" s="420"/>
      <c r="BX1307" s="420"/>
      <c r="BY1307" s="420"/>
      <c r="BZ1307" s="420"/>
      <c r="CA1307" s="420"/>
      <c r="CB1307" s="420"/>
      <c r="CC1307" s="420"/>
      <c r="CD1307" s="420"/>
      <c r="CE1307" s="420"/>
      <c r="CF1307" s="420"/>
      <c r="CG1307" s="420"/>
      <c r="CH1307" s="420"/>
      <c r="CI1307" s="420"/>
      <c r="CJ1307" s="420"/>
      <c r="CK1307" s="420"/>
      <c r="CL1307" s="420"/>
      <c r="CM1307" s="420"/>
      <c r="CN1307" s="420"/>
      <c r="CO1307" s="420"/>
      <c r="CP1307" s="420"/>
      <c r="CQ1307" s="420"/>
      <c r="CR1307" s="420"/>
      <c r="CS1307" s="420"/>
      <c r="CT1307" s="420"/>
      <c r="CU1307" s="420"/>
      <c r="CV1307" s="420"/>
      <c r="CW1307" s="420"/>
      <c r="CX1307" s="420"/>
      <c r="CY1307" s="420"/>
      <c r="CZ1307" s="420"/>
      <c r="DA1307" s="420"/>
      <c r="DB1307" s="420"/>
      <c r="DC1307" s="420"/>
      <c r="DD1307" s="420"/>
      <c r="DE1307" s="420"/>
      <c r="DF1307" s="420"/>
      <c r="DG1307" s="420"/>
      <c r="DH1307" s="420"/>
      <c r="DI1307" s="420"/>
      <c r="DJ1307" s="420"/>
      <c r="DK1307" s="420"/>
      <c r="DL1307" s="420"/>
      <c r="DM1307" s="420"/>
      <c r="DN1307" s="420"/>
      <c r="DO1307" s="420"/>
      <c r="DP1307" s="420"/>
      <c r="DQ1307" s="420"/>
      <c r="DR1307" s="420"/>
      <c r="DS1307" s="420"/>
      <c r="DT1307" s="420"/>
      <c r="DU1307" s="420"/>
      <c r="DV1307" s="420"/>
      <c r="DW1307" s="420"/>
      <c r="DX1307" s="420"/>
      <c r="DY1307" s="420"/>
      <c r="DZ1307" s="420"/>
      <c r="EA1307" s="420"/>
      <c r="EB1307" s="420"/>
      <c r="EC1307" s="420"/>
      <c r="ED1307" s="420"/>
      <c r="EE1307" s="420"/>
      <c r="EF1307" s="420"/>
      <c r="EG1307" s="420"/>
      <c r="EH1307" s="420"/>
      <c r="EI1307" s="420"/>
      <c r="EJ1307" s="420"/>
      <c r="EK1307" s="420"/>
      <c r="EL1307" s="420"/>
      <c r="EM1307" s="420"/>
      <c r="EN1307" s="420"/>
      <c r="EO1307" s="420"/>
      <c r="EP1307" s="420"/>
      <c r="EQ1307" s="420"/>
      <c r="ER1307" s="420"/>
      <c r="ES1307" s="420"/>
      <c r="ET1307" s="420"/>
      <c r="EU1307" s="420"/>
      <c r="EV1307" s="420"/>
      <c r="EW1307" s="420"/>
      <c r="EX1307" s="420"/>
      <c r="EY1307" s="420"/>
      <c r="EZ1307" s="420"/>
      <c r="FA1307" s="420"/>
      <c r="FB1307" s="420"/>
      <c r="FC1307" s="420"/>
      <c r="FD1307" s="420"/>
      <c r="FE1307" s="420"/>
      <c r="FF1307" s="420"/>
      <c r="FG1307" s="420"/>
      <c r="FH1307" s="420"/>
      <c r="FI1307" s="420"/>
      <c r="FJ1307" s="420"/>
      <c r="FK1307" s="420"/>
      <c r="FL1307" s="420"/>
      <c r="FM1307" s="420"/>
      <c r="FN1307" s="420"/>
      <c r="FO1307" s="420"/>
      <c r="FP1307" s="420"/>
      <c r="FQ1307" s="420"/>
      <c r="FR1307" s="420"/>
      <c r="FS1307" s="420"/>
      <c r="FT1307" s="420"/>
      <c r="FU1307" s="420"/>
      <c r="FV1307" s="420"/>
      <c r="FW1307" s="420"/>
      <c r="FX1307" s="420"/>
      <c r="FY1307" s="420"/>
    </row>
    <row r="1308" spans="1:181" s="421" customFormat="1" ht="127.5">
      <c r="A1308" s="971" t="s">
        <v>953</v>
      </c>
      <c r="B1308" s="927" t="s">
        <v>954</v>
      </c>
      <c r="C1308" s="970" t="s">
        <v>47</v>
      </c>
      <c r="D1308" s="921">
        <v>4</v>
      </c>
      <c r="E1308" s="922"/>
      <c r="F1308" s="380">
        <f t="shared" si="49"/>
        <v>0</v>
      </c>
      <c r="G1308" s="420"/>
      <c r="H1308" s="420"/>
      <c r="I1308" s="420"/>
      <c r="J1308" s="420"/>
      <c r="K1308" s="420"/>
      <c r="L1308" s="420"/>
      <c r="M1308" s="420"/>
      <c r="N1308" s="640">
        <f t="shared" si="50"/>
        <v>0</v>
      </c>
      <c r="O1308" s="640">
        <f t="shared" si="51"/>
        <v>0</v>
      </c>
      <c r="P1308" s="420"/>
      <c r="Q1308" s="420"/>
      <c r="R1308" s="420"/>
      <c r="S1308" s="420"/>
      <c r="T1308" s="420"/>
      <c r="U1308" s="420"/>
      <c r="V1308" s="420"/>
      <c r="W1308" s="420"/>
      <c r="X1308" s="420"/>
      <c r="Y1308" s="420"/>
      <c r="Z1308" s="420"/>
      <c r="AA1308" s="420"/>
      <c r="AB1308" s="420"/>
      <c r="AC1308" s="420"/>
      <c r="AD1308" s="420"/>
      <c r="AE1308" s="420"/>
      <c r="AF1308" s="420"/>
      <c r="AG1308" s="420"/>
      <c r="AH1308" s="420"/>
      <c r="AI1308" s="420"/>
      <c r="AJ1308" s="420"/>
      <c r="AK1308" s="420"/>
      <c r="AL1308" s="420"/>
      <c r="AM1308" s="420"/>
      <c r="AN1308" s="420"/>
      <c r="AO1308" s="420"/>
      <c r="AP1308" s="420"/>
      <c r="AQ1308" s="420"/>
      <c r="AR1308" s="420"/>
      <c r="AS1308" s="420"/>
      <c r="AT1308" s="420"/>
      <c r="AU1308" s="420"/>
      <c r="AV1308" s="420"/>
      <c r="AW1308" s="420"/>
      <c r="AX1308" s="420"/>
      <c r="AY1308" s="420"/>
      <c r="AZ1308" s="420"/>
      <c r="BA1308" s="420"/>
      <c r="BB1308" s="420"/>
      <c r="BC1308" s="420"/>
      <c r="BD1308" s="420"/>
      <c r="BE1308" s="420"/>
      <c r="BF1308" s="420"/>
      <c r="BG1308" s="420"/>
      <c r="BH1308" s="420"/>
      <c r="BI1308" s="420"/>
      <c r="BJ1308" s="420"/>
      <c r="BK1308" s="420"/>
      <c r="BL1308" s="420"/>
      <c r="BM1308" s="420"/>
      <c r="BN1308" s="420"/>
      <c r="BO1308" s="420"/>
      <c r="BP1308" s="420"/>
      <c r="BQ1308" s="420"/>
      <c r="BR1308" s="420"/>
      <c r="BS1308" s="420"/>
      <c r="BT1308" s="420"/>
      <c r="BU1308" s="420"/>
      <c r="BV1308" s="420"/>
      <c r="BW1308" s="420"/>
      <c r="BX1308" s="420"/>
      <c r="BY1308" s="420"/>
      <c r="BZ1308" s="420"/>
      <c r="CA1308" s="420"/>
      <c r="CB1308" s="420"/>
      <c r="CC1308" s="420"/>
      <c r="CD1308" s="420"/>
      <c r="CE1308" s="420"/>
      <c r="CF1308" s="420"/>
      <c r="CG1308" s="420"/>
      <c r="CH1308" s="420"/>
      <c r="CI1308" s="420"/>
      <c r="CJ1308" s="420"/>
      <c r="CK1308" s="420"/>
      <c r="CL1308" s="420"/>
      <c r="CM1308" s="420"/>
      <c r="CN1308" s="420"/>
      <c r="CO1308" s="420"/>
      <c r="CP1308" s="420"/>
      <c r="CQ1308" s="420"/>
      <c r="CR1308" s="420"/>
      <c r="CS1308" s="420"/>
      <c r="CT1308" s="420"/>
      <c r="CU1308" s="420"/>
      <c r="CV1308" s="420"/>
      <c r="CW1308" s="420"/>
      <c r="CX1308" s="420"/>
      <c r="CY1308" s="420"/>
      <c r="CZ1308" s="420"/>
      <c r="DA1308" s="420"/>
      <c r="DB1308" s="420"/>
      <c r="DC1308" s="420"/>
      <c r="DD1308" s="420"/>
      <c r="DE1308" s="420"/>
      <c r="DF1308" s="420"/>
      <c r="DG1308" s="420"/>
      <c r="DH1308" s="420"/>
      <c r="DI1308" s="420"/>
      <c r="DJ1308" s="420"/>
      <c r="DK1308" s="420"/>
      <c r="DL1308" s="420"/>
      <c r="DM1308" s="420"/>
      <c r="DN1308" s="420"/>
      <c r="DO1308" s="420"/>
      <c r="DP1308" s="420"/>
      <c r="DQ1308" s="420"/>
      <c r="DR1308" s="420"/>
      <c r="DS1308" s="420"/>
      <c r="DT1308" s="420"/>
      <c r="DU1308" s="420"/>
      <c r="DV1308" s="420"/>
      <c r="DW1308" s="420"/>
      <c r="DX1308" s="420"/>
      <c r="DY1308" s="420"/>
      <c r="DZ1308" s="420"/>
      <c r="EA1308" s="420"/>
      <c r="EB1308" s="420"/>
      <c r="EC1308" s="420"/>
      <c r="ED1308" s="420"/>
      <c r="EE1308" s="420"/>
      <c r="EF1308" s="420"/>
      <c r="EG1308" s="420"/>
      <c r="EH1308" s="420"/>
      <c r="EI1308" s="420"/>
      <c r="EJ1308" s="420"/>
      <c r="EK1308" s="420"/>
      <c r="EL1308" s="420"/>
      <c r="EM1308" s="420"/>
      <c r="EN1308" s="420"/>
      <c r="EO1308" s="420"/>
      <c r="EP1308" s="420"/>
      <c r="EQ1308" s="420"/>
      <c r="ER1308" s="420"/>
      <c r="ES1308" s="420"/>
      <c r="ET1308" s="420"/>
      <c r="EU1308" s="420"/>
      <c r="EV1308" s="420"/>
      <c r="EW1308" s="420"/>
      <c r="EX1308" s="420"/>
      <c r="EY1308" s="420"/>
      <c r="EZ1308" s="420"/>
      <c r="FA1308" s="420"/>
      <c r="FB1308" s="420"/>
      <c r="FC1308" s="420"/>
      <c r="FD1308" s="420"/>
      <c r="FE1308" s="420"/>
      <c r="FF1308" s="420"/>
      <c r="FG1308" s="420"/>
      <c r="FH1308" s="420"/>
      <c r="FI1308" s="420"/>
      <c r="FJ1308" s="420"/>
      <c r="FK1308" s="420"/>
      <c r="FL1308" s="420"/>
      <c r="FM1308" s="420"/>
      <c r="FN1308" s="420"/>
      <c r="FO1308" s="420"/>
      <c r="FP1308" s="420"/>
      <c r="FQ1308" s="420"/>
      <c r="FR1308" s="420"/>
      <c r="FS1308" s="420"/>
      <c r="FT1308" s="420"/>
      <c r="FU1308" s="420"/>
      <c r="FV1308" s="420"/>
      <c r="FW1308" s="420"/>
      <c r="FX1308" s="420"/>
      <c r="FY1308" s="420"/>
    </row>
    <row r="1309" spans="1:181" s="421" customFormat="1" ht="178.5">
      <c r="A1309" s="971" t="s">
        <v>955</v>
      </c>
      <c r="B1309" s="927" t="s">
        <v>956</v>
      </c>
      <c r="C1309" s="970" t="s">
        <v>47</v>
      </c>
      <c r="D1309" s="921">
        <v>1</v>
      </c>
      <c r="E1309" s="922"/>
      <c r="F1309" s="380">
        <f t="shared" si="49"/>
        <v>0</v>
      </c>
      <c r="G1309" s="420"/>
      <c r="H1309" s="420"/>
      <c r="I1309" s="420"/>
      <c r="J1309" s="420"/>
      <c r="K1309" s="420"/>
      <c r="L1309" s="420"/>
      <c r="M1309" s="420"/>
      <c r="N1309" s="640">
        <f t="shared" si="50"/>
        <v>0</v>
      </c>
      <c r="O1309" s="640">
        <f t="shared" si="51"/>
        <v>0</v>
      </c>
      <c r="P1309" s="420"/>
      <c r="Q1309" s="420"/>
      <c r="R1309" s="420"/>
      <c r="S1309" s="420"/>
      <c r="T1309" s="420"/>
      <c r="U1309" s="420"/>
      <c r="V1309" s="420"/>
      <c r="W1309" s="420"/>
      <c r="X1309" s="420"/>
      <c r="Y1309" s="420"/>
      <c r="Z1309" s="420"/>
      <c r="AA1309" s="420"/>
      <c r="AB1309" s="420"/>
      <c r="AC1309" s="420"/>
      <c r="AD1309" s="420"/>
      <c r="AE1309" s="420"/>
      <c r="AF1309" s="420"/>
      <c r="AG1309" s="420"/>
      <c r="AH1309" s="420"/>
      <c r="AI1309" s="420"/>
      <c r="AJ1309" s="420"/>
      <c r="AK1309" s="420"/>
      <c r="AL1309" s="420"/>
      <c r="AM1309" s="420"/>
      <c r="AN1309" s="420"/>
      <c r="AO1309" s="420"/>
      <c r="AP1309" s="420"/>
      <c r="AQ1309" s="420"/>
      <c r="AR1309" s="420"/>
      <c r="AS1309" s="420"/>
      <c r="AT1309" s="420"/>
      <c r="AU1309" s="420"/>
      <c r="AV1309" s="420"/>
      <c r="AW1309" s="420"/>
      <c r="AX1309" s="420"/>
      <c r="AY1309" s="420"/>
      <c r="AZ1309" s="420"/>
      <c r="BA1309" s="420"/>
      <c r="BB1309" s="420"/>
      <c r="BC1309" s="420"/>
      <c r="BD1309" s="420"/>
      <c r="BE1309" s="420"/>
      <c r="BF1309" s="420"/>
      <c r="BG1309" s="420"/>
      <c r="BH1309" s="420"/>
      <c r="BI1309" s="420"/>
      <c r="BJ1309" s="420"/>
      <c r="BK1309" s="420"/>
      <c r="BL1309" s="420"/>
      <c r="BM1309" s="420"/>
      <c r="BN1309" s="420"/>
      <c r="BO1309" s="420"/>
      <c r="BP1309" s="420"/>
      <c r="BQ1309" s="420"/>
      <c r="BR1309" s="420"/>
      <c r="BS1309" s="420"/>
      <c r="BT1309" s="420"/>
      <c r="BU1309" s="420"/>
      <c r="BV1309" s="420"/>
      <c r="BW1309" s="420"/>
      <c r="BX1309" s="420"/>
      <c r="BY1309" s="420"/>
      <c r="BZ1309" s="420"/>
      <c r="CA1309" s="420"/>
      <c r="CB1309" s="420"/>
      <c r="CC1309" s="420"/>
      <c r="CD1309" s="420"/>
      <c r="CE1309" s="420"/>
      <c r="CF1309" s="420"/>
      <c r="CG1309" s="420"/>
      <c r="CH1309" s="420"/>
      <c r="CI1309" s="420"/>
      <c r="CJ1309" s="420"/>
      <c r="CK1309" s="420"/>
      <c r="CL1309" s="420"/>
      <c r="CM1309" s="420"/>
      <c r="CN1309" s="420"/>
      <c r="CO1309" s="420"/>
      <c r="CP1309" s="420"/>
      <c r="CQ1309" s="420"/>
      <c r="CR1309" s="420"/>
      <c r="CS1309" s="420"/>
      <c r="CT1309" s="420"/>
      <c r="CU1309" s="420"/>
      <c r="CV1309" s="420"/>
      <c r="CW1309" s="420"/>
      <c r="CX1309" s="420"/>
      <c r="CY1309" s="420"/>
      <c r="CZ1309" s="420"/>
      <c r="DA1309" s="420"/>
      <c r="DB1309" s="420"/>
      <c r="DC1309" s="420"/>
      <c r="DD1309" s="420"/>
      <c r="DE1309" s="420"/>
      <c r="DF1309" s="420"/>
      <c r="DG1309" s="420"/>
      <c r="DH1309" s="420"/>
      <c r="DI1309" s="420"/>
      <c r="DJ1309" s="420"/>
      <c r="DK1309" s="420"/>
      <c r="DL1309" s="420"/>
      <c r="DM1309" s="420"/>
      <c r="DN1309" s="420"/>
      <c r="DO1309" s="420"/>
      <c r="DP1309" s="420"/>
      <c r="DQ1309" s="420"/>
      <c r="DR1309" s="420"/>
      <c r="DS1309" s="420"/>
      <c r="DT1309" s="420"/>
      <c r="DU1309" s="420"/>
      <c r="DV1309" s="420"/>
      <c r="DW1309" s="420"/>
      <c r="DX1309" s="420"/>
      <c r="DY1309" s="420"/>
      <c r="DZ1309" s="420"/>
      <c r="EA1309" s="420"/>
      <c r="EB1309" s="420"/>
      <c r="EC1309" s="420"/>
      <c r="ED1309" s="420"/>
      <c r="EE1309" s="420"/>
      <c r="EF1309" s="420"/>
      <c r="EG1309" s="420"/>
      <c r="EH1309" s="420"/>
      <c r="EI1309" s="420"/>
      <c r="EJ1309" s="420"/>
      <c r="EK1309" s="420"/>
      <c r="EL1309" s="420"/>
      <c r="EM1309" s="420"/>
      <c r="EN1309" s="420"/>
      <c r="EO1309" s="420"/>
      <c r="EP1309" s="420"/>
      <c r="EQ1309" s="420"/>
      <c r="ER1309" s="420"/>
      <c r="ES1309" s="420"/>
      <c r="ET1309" s="420"/>
      <c r="EU1309" s="420"/>
      <c r="EV1309" s="420"/>
      <c r="EW1309" s="420"/>
      <c r="EX1309" s="420"/>
      <c r="EY1309" s="420"/>
      <c r="EZ1309" s="420"/>
      <c r="FA1309" s="420"/>
      <c r="FB1309" s="420"/>
      <c r="FC1309" s="420"/>
      <c r="FD1309" s="420"/>
      <c r="FE1309" s="420"/>
      <c r="FF1309" s="420"/>
      <c r="FG1309" s="420"/>
      <c r="FH1309" s="420"/>
      <c r="FI1309" s="420"/>
      <c r="FJ1309" s="420"/>
      <c r="FK1309" s="420"/>
      <c r="FL1309" s="420"/>
      <c r="FM1309" s="420"/>
      <c r="FN1309" s="420"/>
      <c r="FO1309" s="420"/>
      <c r="FP1309" s="420"/>
      <c r="FQ1309" s="420"/>
      <c r="FR1309" s="420"/>
      <c r="FS1309" s="420"/>
      <c r="FT1309" s="420"/>
      <c r="FU1309" s="420"/>
      <c r="FV1309" s="420"/>
      <c r="FW1309" s="420"/>
      <c r="FX1309" s="420"/>
      <c r="FY1309" s="420"/>
    </row>
    <row r="1310" spans="1:181" s="421" customFormat="1" ht="165.75">
      <c r="A1310" s="971" t="s">
        <v>957</v>
      </c>
      <c r="B1310" s="927" t="s">
        <v>1258</v>
      </c>
      <c r="C1310" s="920" t="s">
        <v>47</v>
      </c>
      <c r="D1310" s="921">
        <v>1</v>
      </c>
      <c r="E1310" s="922"/>
      <c r="F1310" s="380">
        <f t="shared" si="49"/>
        <v>0</v>
      </c>
      <c r="G1310" s="420"/>
      <c r="H1310" s="420"/>
      <c r="I1310" s="420"/>
      <c r="J1310" s="420"/>
      <c r="K1310" s="420"/>
      <c r="L1310" s="420"/>
      <c r="M1310" s="420"/>
      <c r="N1310" s="640">
        <f t="shared" si="50"/>
        <v>0</v>
      </c>
      <c r="O1310" s="640">
        <f t="shared" si="51"/>
        <v>0</v>
      </c>
      <c r="P1310" s="420"/>
      <c r="Q1310" s="420"/>
      <c r="R1310" s="420"/>
      <c r="S1310" s="420"/>
      <c r="T1310" s="420"/>
      <c r="U1310" s="420"/>
      <c r="V1310" s="420"/>
      <c r="W1310" s="420"/>
      <c r="X1310" s="420"/>
      <c r="Y1310" s="420"/>
      <c r="Z1310" s="420"/>
      <c r="AA1310" s="420"/>
      <c r="AB1310" s="420"/>
      <c r="AC1310" s="420"/>
      <c r="AD1310" s="420"/>
      <c r="AE1310" s="420"/>
      <c r="AF1310" s="420"/>
      <c r="AG1310" s="420"/>
      <c r="AH1310" s="420"/>
      <c r="AI1310" s="420"/>
      <c r="AJ1310" s="420"/>
      <c r="AK1310" s="420"/>
      <c r="AL1310" s="420"/>
      <c r="AM1310" s="420"/>
      <c r="AN1310" s="420"/>
      <c r="AO1310" s="420"/>
      <c r="AP1310" s="420"/>
      <c r="AQ1310" s="420"/>
      <c r="AR1310" s="420"/>
      <c r="AS1310" s="420"/>
      <c r="AT1310" s="420"/>
      <c r="AU1310" s="420"/>
      <c r="AV1310" s="420"/>
      <c r="AW1310" s="420"/>
      <c r="AX1310" s="420"/>
      <c r="AY1310" s="420"/>
      <c r="AZ1310" s="420"/>
      <c r="BA1310" s="420"/>
      <c r="BB1310" s="420"/>
      <c r="BC1310" s="420"/>
      <c r="BD1310" s="420"/>
      <c r="BE1310" s="420"/>
      <c r="BF1310" s="420"/>
      <c r="BG1310" s="420"/>
      <c r="BH1310" s="420"/>
      <c r="BI1310" s="420"/>
      <c r="BJ1310" s="420"/>
      <c r="BK1310" s="420"/>
      <c r="BL1310" s="420"/>
      <c r="BM1310" s="420"/>
      <c r="BN1310" s="420"/>
      <c r="BO1310" s="420"/>
      <c r="BP1310" s="420"/>
      <c r="BQ1310" s="420"/>
      <c r="BR1310" s="420"/>
      <c r="BS1310" s="420"/>
      <c r="BT1310" s="420"/>
      <c r="BU1310" s="420"/>
      <c r="BV1310" s="420"/>
      <c r="BW1310" s="420"/>
      <c r="BX1310" s="420"/>
      <c r="BY1310" s="420"/>
      <c r="BZ1310" s="420"/>
      <c r="CA1310" s="420"/>
      <c r="CB1310" s="420"/>
      <c r="CC1310" s="420"/>
      <c r="CD1310" s="420"/>
      <c r="CE1310" s="420"/>
      <c r="CF1310" s="420"/>
      <c r="CG1310" s="420"/>
      <c r="CH1310" s="420"/>
      <c r="CI1310" s="420"/>
      <c r="CJ1310" s="420"/>
      <c r="CK1310" s="420"/>
      <c r="CL1310" s="420"/>
      <c r="CM1310" s="420"/>
      <c r="CN1310" s="420"/>
      <c r="CO1310" s="420"/>
      <c r="CP1310" s="420"/>
      <c r="CQ1310" s="420"/>
      <c r="CR1310" s="420"/>
      <c r="CS1310" s="420"/>
      <c r="CT1310" s="420"/>
      <c r="CU1310" s="420"/>
      <c r="CV1310" s="420"/>
      <c r="CW1310" s="420"/>
      <c r="CX1310" s="420"/>
      <c r="CY1310" s="420"/>
      <c r="CZ1310" s="420"/>
      <c r="DA1310" s="420"/>
      <c r="DB1310" s="420"/>
      <c r="DC1310" s="420"/>
      <c r="DD1310" s="420"/>
      <c r="DE1310" s="420"/>
      <c r="DF1310" s="420"/>
      <c r="DG1310" s="420"/>
      <c r="DH1310" s="420"/>
      <c r="DI1310" s="420"/>
      <c r="DJ1310" s="420"/>
      <c r="DK1310" s="420"/>
      <c r="DL1310" s="420"/>
      <c r="DM1310" s="420"/>
      <c r="DN1310" s="420"/>
      <c r="DO1310" s="420"/>
      <c r="DP1310" s="420"/>
      <c r="DQ1310" s="420"/>
      <c r="DR1310" s="420"/>
      <c r="DS1310" s="420"/>
      <c r="DT1310" s="420"/>
      <c r="DU1310" s="420"/>
      <c r="DV1310" s="420"/>
      <c r="DW1310" s="420"/>
      <c r="DX1310" s="420"/>
      <c r="DY1310" s="420"/>
      <c r="DZ1310" s="420"/>
      <c r="EA1310" s="420"/>
      <c r="EB1310" s="420"/>
      <c r="EC1310" s="420"/>
      <c r="ED1310" s="420"/>
      <c r="EE1310" s="420"/>
      <c r="EF1310" s="420"/>
      <c r="EG1310" s="420"/>
      <c r="EH1310" s="420"/>
      <c r="EI1310" s="420"/>
      <c r="EJ1310" s="420"/>
      <c r="EK1310" s="420"/>
      <c r="EL1310" s="420"/>
      <c r="EM1310" s="420"/>
      <c r="EN1310" s="420"/>
      <c r="EO1310" s="420"/>
      <c r="EP1310" s="420"/>
      <c r="EQ1310" s="420"/>
      <c r="ER1310" s="420"/>
      <c r="ES1310" s="420"/>
      <c r="ET1310" s="420"/>
      <c r="EU1310" s="420"/>
      <c r="EV1310" s="420"/>
      <c r="EW1310" s="420"/>
      <c r="EX1310" s="420"/>
      <c r="EY1310" s="420"/>
      <c r="EZ1310" s="420"/>
      <c r="FA1310" s="420"/>
      <c r="FB1310" s="420"/>
      <c r="FC1310" s="420"/>
      <c r="FD1310" s="420"/>
      <c r="FE1310" s="420"/>
      <c r="FF1310" s="420"/>
      <c r="FG1310" s="420"/>
      <c r="FH1310" s="420"/>
      <c r="FI1310" s="420"/>
      <c r="FJ1310" s="420"/>
      <c r="FK1310" s="420"/>
      <c r="FL1310" s="420"/>
      <c r="FM1310" s="420"/>
      <c r="FN1310" s="420"/>
      <c r="FO1310" s="420"/>
      <c r="FP1310" s="420"/>
      <c r="FQ1310" s="420"/>
      <c r="FR1310" s="420"/>
      <c r="FS1310" s="420"/>
      <c r="FT1310" s="420"/>
      <c r="FU1310" s="420"/>
      <c r="FV1310" s="420"/>
      <c r="FW1310" s="420"/>
      <c r="FX1310" s="420"/>
      <c r="FY1310" s="420"/>
    </row>
    <row r="1311" spans="1:181" s="421" customFormat="1" ht="38.25">
      <c r="A1311" s="971" t="s">
        <v>958</v>
      </c>
      <c r="B1311" s="927" t="s">
        <v>959</v>
      </c>
      <c r="C1311" s="920" t="s">
        <v>47</v>
      </c>
      <c r="D1311" s="921">
        <v>1</v>
      </c>
      <c r="E1311" s="922"/>
      <c r="F1311" s="380">
        <f t="shared" si="49"/>
        <v>0</v>
      </c>
      <c r="G1311" s="420"/>
      <c r="H1311" s="420"/>
      <c r="I1311" s="420"/>
      <c r="J1311" s="420"/>
      <c r="K1311" s="420"/>
      <c r="L1311" s="420"/>
      <c r="M1311" s="420"/>
      <c r="N1311" s="640">
        <f t="shared" si="50"/>
        <v>0</v>
      </c>
      <c r="O1311" s="640">
        <f t="shared" si="51"/>
        <v>0</v>
      </c>
      <c r="P1311" s="420"/>
      <c r="Q1311" s="420"/>
      <c r="R1311" s="420"/>
      <c r="S1311" s="420"/>
      <c r="T1311" s="420"/>
      <c r="U1311" s="420"/>
      <c r="V1311" s="420"/>
      <c r="W1311" s="420"/>
      <c r="X1311" s="420"/>
      <c r="Y1311" s="420"/>
      <c r="Z1311" s="420"/>
      <c r="AA1311" s="420"/>
      <c r="AB1311" s="420"/>
      <c r="AC1311" s="420"/>
      <c r="AD1311" s="420"/>
      <c r="AE1311" s="420"/>
      <c r="AF1311" s="420"/>
      <c r="AG1311" s="420"/>
      <c r="AH1311" s="420"/>
      <c r="AI1311" s="420"/>
      <c r="AJ1311" s="420"/>
      <c r="AK1311" s="420"/>
      <c r="AL1311" s="420"/>
      <c r="AM1311" s="420"/>
      <c r="AN1311" s="420"/>
      <c r="AO1311" s="420"/>
      <c r="AP1311" s="420"/>
      <c r="AQ1311" s="420"/>
      <c r="AR1311" s="420"/>
      <c r="AS1311" s="420"/>
      <c r="AT1311" s="420"/>
      <c r="AU1311" s="420"/>
      <c r="AV1311" s="420"/>
      <c r="AW1311" s="420"/>
      <c r="AX1311" s="420"/>
      <c r="AY1311" s="420"/>
      <c r="AZ1311" s="420"/>
      <c r="BA1311" s="420"/>
      <c r="BB1311" s="420"/>
      <c r="BC1311" s="420"/>
      <c r="BD1311" s="420"/>
      <c r="BE1311" s="420"/>
      <c r="BF1311" s="420"/>
      <c r="BG1311" s="420"/>
      <c r="BH1311" s="420"/>
      <c r="BI1311" s="420"/>
      <c r="BJ1311" s="420"/>
      <c r="BK1311" s="420"/>
      <c r="BL1311" s="420"/>
      <c r="BM1311" s="420"/>
      <c r="BN1311" s="420"/>
      <c r="BO1311" s="420"/>
      <c r="BP1311" s="420"/>
      <c r="BQ1311" s="420"/>
      <c r="BR1311" s="420"/>
      <c r="BS1311" s="420"/>
      <c r="BT1311" s="420"/>
      <c r="BU1311" s="420"/>
      <c r="BV1311" s="420"/>
      <c r="BW1311" s="420"/>
      <c r="BX1311" s="420"/>
      <c r="BY1311" s="420"/>
      <c r="BZ1311" s="420"/>
      <c r="CA1311" s="420"/>
      <c r="CB1311" s="420"/>
      <c r="CC1311" s="420"/>
      <c r="CD1311" s="420"/>
      <c r="CE1311" s="420"/>
      <c r="CF1311" s="420"/>
      <c r="CG1311" s="420"/>
      <c r="CH1311" s="420"/>
      <c r="CI1311" s="420"/>
      <c r="CJ1311" s="420"/>
      <c r="CK1311" s="420"/>
      <c r="CL1311" s="420"/>
      <c r="CM1311" s="420"/>
      <c r="CN1311" s="420"/>
      <c r="CO1311" s="420"/>
      <c r="CP1311" s="420"/>
      <c r="CQ1311" s="420"/>
      <c r="CR1311" s="420"/>
      <c r="CS1311" s="420"/>
      <c r="CT1311" s="420"/>
      <c r="CU1311" s="420"/>
      <c r="CV1311" s="420"/>
      <c r="CW1311" s="420"/>
      <c r="CX1311" s="420"/>
      <c r="CY1311" s="420"/>
      <c r="CZ1311" s="420"/>
      <c r="DA1311" s="420"/>
      <c r="DB1311" s="420"/>
      <c r="DC1311" s="420"/>
      <c r="DD1311" s="420"/>
      <c r="DE1311" s="420"/>
      <c r="DF1311" s="420"/>
      <c r="DG1311" s="420"/>
      <c r="DH1311" s="420"/>
      <c r="DI1311" s="420"/>
      <c r="DJ1311" s="420"/>
      <c r="DK1311" s="420"/>
      <c r="DL1311" s="420"/>
      <c r="DM1311" s="420"/>
      <c r="DN1311" s="420"/>
      <c r="DO1311" s="420"/>
      <c r="DP1311" s="420"/>
      <c r="DQ1311" s="420"/>
      <c r="DR1311" s="420"/>
      <c r="DS1311" s="420"/>
      <c r="DT1311" s="420"/>
      <c r="DU1311" s="420"/>
      <c r="DV1311" s="420"/>
      <c r="DW1311" s="420"/>
      <c r="DX1311" s="420"/>
      <c r="DY1311" s="420"/>
      <c r="DZ1311" s="420"/>
      <c r="EA1311" s="420"/>
      <c r="EB1311" s="420"/>
      <c r="EC1311" s="420"/>
      <c r="ED1311" s="420"/>
      <c r="EE1311" s="420"/>
      <c r="EF1311" s="420"/>
      <c r="EG1311" s="420"/>
      <c r="EH1311" s="420"/>
      <c r="EI1311" s="420"/>
      <c r="EJ1311" s="420"/>
      <c r="EK1311" s="420"/>
      <c r="EL1311" s="420"/>
      <c r="EM1311" s="420"/>
      <c r="EN1311" s="420"/>
      <c r="EO1311" s="420"/>
      <c r="EP1311" s="420"/>
      <c r="EQ1311" s="420"/>
      <c r="ER1311" s="420"/>
      <c r="ES1311" s="420"/>
      <c r="ET1311" s="420"/>
      <c r="EU1311" s="420"/>
      <c r="EV1311" s="420"/>
      <c r="EW1311" s="420"/>
      <c r="EX1311" s="420"/>
      <c r="EY1311" s="420"/>
      <c r="EZ1311" s="420"/>
      <c r="FA1311" s="420"/>
      <c r="FB1311" s="420"/>
      <c r="FC1311" s="420"/>
      <c r="FD1311" s="420"/>
      <c r="FE1311" s="420"/>
      <c r="FF1311" s="420"/>
      <c r="FG1311" s="420"/>
      <c r="FH1311" s="420"/>
      <c r="FI1311" s="420"/>
      <c r="FJ1311" s="420"/>
      <c r="FK1311" s="420"/>
      <c r="FL1311" s="420"/>
      <c r="FM1311" s="420"/>
      <c r="FN1311" s="420"/>
      <c r="FO1311" s="420"/>
      <c r="FP1311" s="420"/>
      <c r="FQ1311" s="420"/>
      <c r="FR1311" s="420"/>
      <c r="FS1311" s="420"/>
      <c r="FT1311" s="420"/>
      <c r="FU1311" s="420"/>
      <c r="FV1311" s="420"/>
      <c r="FW1311" s="420"/>
      <c r="FX1311" s="420"/>
      <c r="FY1311" s="420"/>
    </row>
    <row r="1312" spans="1:181" s="421" customFormat="1" ht="76.5">
      <c r="A1312" s="971" t="s">
        <v>960</v>
      </c>
      <c r="B1312" s="927" t="s">
        <v>961</v>
      </c>
      <c r="C1312" s="920" t="s">
        <v>47</v>
      </c>
      <c r="D1312" s="921">
        <v>1</v>
      </c>
      <c r="E1312" s="922"/>
      <c r="F1312" s="380">
        <f t="shared" si="49"/>
        <v>0</v>
      </c>
      <c r="G1312" s="420"/>
      <c r="H1312" s="420"/>
      <c r="I1312" s="420"/>
      <c r="J1312" s="420"/>
      <c r="K1312" s="420"/>
      <c r="L1312" s="420"/>
      <c r="M1312" s="420"/>
      <c r="N1312" s="640">
        <f t="shared" si="50"/>
        <v>0</v>
      </c>
      <c r="O1312" s="640">
        <f t="shared" si="51"/>
        <v>0</v>
      </c>
      <c r="P1312" s="420"/>
      <c r="Q1312" s="420"/>
      <c r="R1312" s="420"/>
      <c r="S1312" s="420"/>
      <c r="T1312" s="420"/>
      <c r="U1312" s="420"/>
      <c r="V1312" s="420"/>
      <c r="W1312" s="420"/>
      <c r="X1312" s="420"/>
      <c r="Y1312" s="420"/>
      <c r="Z1312" s="420"/>
      <c r="AA1312" s="420"/>
      <c r="AB1312" s="420"/>
      <c r="AC1312" s="420"/>
      <c r="AD1312" s="420"/>
      <c r="AE1312" s="420"/>
      <c r="AF1312" s="420"/>
      <c r="AG1312" s="420"/>
      <c r="AH1312" s="420"/>
      <c r="AI1312" s="420"/>
      <c r="AJ1312" s="420"/>
      <c r="AK1312" s="420"/>
      <c r="AL1312" s="420"/>
      <c r="AM1312" s="420"/>
      <c r="AN1312" s="420"/>
      <c r="AO1312" s="420"/>
      <c r="AP1312" s="420"/>
      <c r="AQ1312" s="420"/>
      <c r="AR1312" s="420"/>
      <c r="AS1312" s="420"/>
      <c r="AT1312" s="420"/>
      <c r="AU1312" s="420"/>
      <c r="AV1312" s="420"/>
      <c r="AW1312" s="420"/>
      <c r="AX1312" s="420"/>
      <c r="AY1312" s="420"/>
      <c r="AZ1312" s="420"/>
      <c r="BA1312" s="420"/>
      <c r="BB1312" s="420"/>
      <c r="BC1312" s="420"/>
      <c r="BD1312" s="420"/>
      <c r="BE1312" s="420"/>
      <c r="BF1312" s="420"/>
      <c r="BG1312" s="420"/>
      <c r="BH1312" s="420"/>
      <c r="BI1312" s="420"/>
      <c r="BJ1312" s="420"/>
      <c r="BK1312" s="420"/>
      <c r="BL1312" s="420"/>
      <c r="BM1312" s="420"/>
      <c r="BN1312" s="420"/>
      <c r="BO1312" s="420"/>
      <c r="BP1312" s="420"/>
      <c r="BQ1312" s="420"/>
      <c r="BR1312" s="420"/>
      <c r="BS1312" s="420"/>
      <c r="BT1312" s="420"/>
      <c r="BU1312" s="420"/>
      <c r="BV1312" s="420"/>
      <c r="BW1312" s="420"/>
      <c r="BX1312" s="420"/>
      <c r="BY1312" s="420"/>
      <c r="BZ1312" s="420"/>
      <c r="CA1312" s="420"/>
      <c r="CB1312" s="420"/>
      <c r="CC1312" s="420"/>
      <c r="CD1312" s="420"/>
      <c r="CE1312" s="420"/>
      <c r="CF1312" s="420"/>
      <c r="CG1312" s="420"/>
      <c r="CH1312" s="420"/>
      <c r="CI1312" s="420"/>
      <c r="CJ1312" s="420"/>
      <c r="CK1312" s="420"/>
      <c r="CL1312" s="420"/>
      <c r="CM1312" s="420"/>
      <c r="CN1312" s="420"/>
      <c r="CO1312" s="420"/>
      <c r="CP1312" s="420"/>
      <c r="CQ1312" s="420"/>
      <c r="CR1312" s="420"/>
      <c r="CS1312" s="420"/>
      <c r="CT1312" s="420"/>
      <c r="CU1312" s="420"/>
      <c r="CV1312" s="420"/>
      <c r="CW1312" s="420"/>
      <c r="CX1312" s="420"/>
      <c r="CY1312" s="420"/>
      <c r="CZ1312" s="420"/>
      <c r="DA1312" s="420"/>
      <c r="DB1312" s="420"/>
      <c r="DC1312" s="420"/>
      <c r="DD1312" s="420"/>
      <c r="DE1312" s="420"/>
      <c r="DF1312" s="420"/>
      <c r="DG1312" s="420"/>
      <c r="DH1312" s="420"/>
      <c r="DI1312" s="420"/>
      <c r="DJ1312" s="420"/>
      <c r="DK1312" s="420"/>
      <c r="DL1312" s="420"/>
      <c r="DM1312" s="420"/>
      <c r="DN1312" s="420"/>
      <c r="DO1312" s="420"/>
      <c r="DP1312" s="420"/>
      <c r="DQ1312" s="420"/>
      <c r="DR1312" s="420"/>
      <c r="DS1312" s="420"/>
      <c r="DT1312" s="420"/>
      <c r="DU1312" s="420"/>
      <c r="DV1312" s="420"/>
      <c r="DW1312" s="420"/>
      <c r="DX1312" s="420"/>
      <c r="DY1312" s="420"/>
      <c r="DZ1312" s="420"/>
      <c r="EA1312" s="420"/>
      <c r="EB1312" s="420"/>
      <c r="EC1312" s="420"/>
      <c r="ED1312" s="420"/>
      <c r="EE1312" s="420"/>
      <c r="EF1312" s="420"/>
      <c r="EG1312" s="420"/>
      <c r="EH1312" s="420"/>
      <c r="EI1312" s="420"/>
      <c r="EJ1312" s="420"/>
      <c r="EK1312" s="420"/>
      <c r="EL1312" s="420"/>
      <c r="EM1312" s="420"/>
      <c r="EN1312" s="420"/>
      <c r="EO1312" s="420"/>
      <c r="EP1312" s="420"/>
      <c r="EQ1312" s="420"/>
      <c r="ER1312" s="420"/>
      <c r="ES1312" s="420"/>
      <c r="ET1312" s="420"/>
      <c r="EU1312" s="420"/>
      <c r="EV1312" s="420"/>
      <c r="EW1312" s="420"/>
      <c r="EX1312" s="420"/>
      <c r="EY1312" s="420"/>
      <c r="EZ1312" s="420"/>
      <c r="FA1312" s="420"/>
      <c r="FB1312" s="420"/>
      <c r="FC1312" s="420"/>
      <c r="FD1312" s="420"/>
      <c r="FE1312" s="420"/>
      <c r="FF1312" s="420"/>
      <c r="FG1312" s="420"/>
      <c r="FH1312" s="420"/>
      <c r="FI1312" s="420"/>
      <c r="FJ1312" s="420"/>
      <c r="FK1312" s="420"/>
      <c r="FL1312" s="420"/>
      <c r="FM1312" s="420"/>
      <c r="FN1312" s="420"/>
      <c r="FO1312" s="420"/>
      <c r="FP1312" s="420"/>
      <c r="FQ1312" s="420"/>
      <c r="FR1312" s="420"/>
      <c r="FS1312" s="420"/>
      <c r="FT1312" s="420"/>
      <c r="FU1312" s="420"/>
      <c r="FV1312" s="420"/>
      <c r="FW1312" s="420"/>
      <c r="FX1312" s="420"/>
      <c r="FY1312" s="420"/>
    </row>
    <row r="1313" spans="1:181" s="421" customFormat="1" ht="12.75">
      <c r="A1313" s="918"/>
      <c r="B1313" s="972" t="s">
        <v>922</v>
      </c>
      <c r="C1313" s="970"/>
      <c r="D1313" s="921"/>
      <c r="E1313" s="922"/>
      <c r="F1313" s="380">
        <f t="shared" si="49"/>
        <v>0</v>
      </c>
      <c r="G1313" s="420"/>
      <c r="H1313" s="420"/>
      <c r="I1313" s="420"/>
      <c r="J1313" s="420"/>
      <c r="K1313" s="420"/>
      <c r="L1313" s="420"/>
      <c r="M1313" s="420"/>
      <c r="N1313" s="640">
        <f t="shared" si="50"/>
        <v>0</v>
      </c>
      <c r="O1313" s="640">
        <f t="shared" si="51"/>
        <v>0</v>
      </c>
      <c r="P1313" s="420"/>
      <c r="Q1313" s="420"/>
      <c r="R1313" s="420"/>
      <c r="S1313" s="420"/>
      <c r="T1313" s="420"/>
      <c r="U1313" s="420"/>
      <c r="V1313" s="420"/>
      <c r="W1313" s="420"/>
      <c r="X1313" s="420"/>
      <c r="Y1313" s="420"/>
      <c r="Z1313" s="420"/>
      <c r="AA1313" s="420"/>
      <c r="AB1313" s="420"/>
      <c r="AC1313" s="420"/>
      <c r="AD1313" s="420"/>
      <c r="AE1313" s="420"/>
      <c r="AF1313" s="420"/>
      <c r="AG1313" s="420"/>
      <c r="AH1313" s="420"/>
      <c r="AI1313" s="420"/>
      <c r="AJ1313" s="420"/>
      <c r="AK1313" s="420"/>
      <c r="AL1313" s="420"/>
      <c r="AM1313" s="420"/>
      <c r="AN1313" s="420"/>
      <c r="AO1313" s="420"/>
      <c r="AP1313" s="420"/>
      <c r="AQ1313" s="420"/>
      <c r="AR1313" s="420"/>
      <c r="AS1313" s="420"/>
      <c r="AT1313" s="420"/>
      <c r="AU1313" s="420"/>
      <c r="AV1313" s="420"/>
      <c r="AW1313" s="420"/>
      <c r="AX1313" s="420"/>
      <c r="AY1313" s="420"/>
      <c r="AZ1313" s="420"/>
      <c r="BA1313" s="420"/>
      <c r="BB1313" s="420"/>
      <c r="BC1313" s="420"/>
      <c r="BD1313" s="420"/>
      <c r="BE1313" s="420"/>
      <c r="BF1313" s="420"/>
      <c r="BG1313" s="420"/>
      <c r="BH1313" s="420"/>
      <c r="BI1313" s="420"/>
      <c r="BJ1313" s="420"/>
      <c r="BK1313" s="420"/>
      <c r="BL1313" s="420"/>
      <c r="BM1313" s="420"/>
      <c r="BN1313" s="420"/>
      <c r="BO1313" s="420"/>
      <c r="BP1313" s="420"/>
      <c r="BQ1313" s="420"/>
      <c r="BR1313" s="420"/>
      <c r="BS1313" s="420"/>
      <c r="BT1313" s="420"/>
      <c r="BU1313" s="420"/>
      <c r="BV1313" s="420"/>
      <c r="BW1313" s="420"/>
      <c r="BX1313" s="420"/>
      <c r="BY1313" s="420"/>
      <c r="BZ1313" s="420"/>
      <c r="CA1313" s="420"/>
      <c r="CB1313" s="420"/>
      <c r="CC1313" s="420"/>
      <c r="CD1313" s="420"/>
      <c r="CE1313" s="420"/>
      <c r="CF1313" s="420"/>
      <c r="CG1313" s="420"/>
      <c r="CH1313" s="420"/>
      <c r="CI1313" s="420"/>
      <c r="CJ1313" s="420"/>
      <c r="CK1313" s="420"/>
      <c r="CL1313" s="420"/>
      <c r="CM1313" s="420"/>
      <c r="CN1313" s="420"/>
      <c r="CO1313" s="420"/>
      <c r="CP1313" s="420"/>
      <c r="CQ1313" s="420"/>
      <c r="CR1313" s="420"/>
      <c r="CS1313" s="420"/>
      <c r="CT1313" s="420"/>
      <c r="CU1313" s="420"/>
      <c r="CV1313" s="420"/>
      <c r="CW1313" s="420"/>
      <c r="CX1313" s="420"/>
      <c r="CY1313" s="420"/>
      <c r="CZ1313" s="420"/>
      <c r="DA1313" s="420"/>
      <c r="DB1313" s="420"/>
      <c r="DC1313" s="420"/>
      <c r="DD1313" s="420"/>
      <c r="DE1313" s="420"/>
      <c r="DF1313" s="420"/>
      <c r="DG1313" s="420"/>
      <c r="DH1313" s="420"/>
      <c r="DI1313" s="420"/>
      <c r="DJ1313" s="420"/>
      <c r="DK1313" s="420"/>
      <c r="DL1313" s="420"/>
      <c r="DM1313" s="420"/>
      <c r="DN1313" s="420"/>
      <c r="DO1313" s="420"/>
      <c r="DP1313" s="420"/>
      <c r="DQ1313" s="420"/>
      <c r="DR1313" s="420"/>
      <c r="DS1313" s="420"/>
      <c r="DT1313" s="420"/>
      <c r="DU1313" s="420"/>
      <c r="DV1313" s="420"/>
      <c r="DW1313" s="420"/>
      <c r="DX1313" s="420"/>
      <c r="DY1313" s="420"/>
      <c r="DZ1313" s="420"/>
      <c r="EA1313" s="420"/>
      <c r="EB1313" s="420"/>
      <c r="EC1313" s="420"/>
      <c r="ED1313" s="420"/>
      <c r="EE1313" s="420"/>
      <c r="EF1313" s="420"/>
      <c r="EG1313" s="420"/>
      <c r="EH1313" s="420"/>
      <c r="EI1313" s="420"/>
      <c r="EJ1313" s="420"/>
      <c r="EK1313" s="420"/>
      <c r="EL1313" s="420"/>
      <c r="EM1313" s="420"/>
      <c r="EN1313" s="420"/>
      <c r="EO1313" s="420"/>
      <c r="EP1313" s="420"/>
      <c r="EQ1313" s="420"/>
      <c r="ER1313" s="420"/>
      <c r="ES1313" s="420"/>
      <c r="ET1313" s="420"/>
      <c r="EU1313" s="420"/>
      <c r="EV1313" s="420"/>
      <c r="EW1313" s="420"/>
      <c r="EX1313" s="420"/>
      <c r="EY1313" s="420"/>
      <c r="EZ1313" s="420"/>
      <c r="FA1313" s="420"/>
      <c r="FB1313" s="420"/>
      <c r="FC1313" s="420"/>
      <c r="FD1313" s="420"/>
      <c r="FE1313" s="420"/>
      <c r="FF1313" s="420"/>
      <c r="FG1313" s="420"/>
      <c r="FH1313" s="420"/>
      <c r="FI1313" s="420"/>
      <c r="FJ1313" s="420"/>
      <c r="FK1313" s="420"/>
      <c r="FL1313" s="420"/>
      <c r="FM1313" s="420"/>
      <c r="FN1313" s="420"/>
      <c r="FO1313" s="420"/>
      <c r="FP1313" s="420"/>
      <c r="FQ1313" s="420"/>
      <c r="FR1313" s="420"/>
      <c r="FS1313" s="420"/>
      <c r="FT1313" s="420"/>
      <c r="FU1313" s="420"/>
      <c r="FV1313" s="420"/>
      <c r="FW1313" s="420"/>
      <c r="FX1313" s="420"/>
      <c r="FY1313" s="420"/>
    </row>
    <row r="1314" spans="1:181" s="421" customFormat="1" ht="38.25">
      <c r="A1314" s="918" t="s">
        <v>962</v>
      </c>
      <c r="B1314" s="927" t="s">
        <v>963</v>
      </c>
      <c r="C1314" s="920" t="s">
        <v>350</v>
      </c>
      <c r="D1314" s="921">
        <v>140</v>
      </c>
      <c r="E1314" s="922"/>
      <c r="F1314" s="380">
        <f t="shared" si="49"/>
        <v>0</v>
      </c>
      <c r="G1314" s="420"/>
      <c r="H1314" s="420"/>
      <c r="I1314" s="420"/>
      <c r="J1314" s="420"/>
      <c r="K1314" s="420"/>
      <c r="L1314" s="420"/>
      <c r="M1314" s="420"/>
      <c r="N1314" s="640">
        <f t="shared" si="50"/>
        <v>0</v>
      </c>
      <c r="O1314" s="640">
        <f t="shared" si="51"/>
        <v>0</v>
      </c>
      <c r="P1314" s="420"/>
      <c r="Q1314" s="420"/>
      <c r="R1314" s="420"/>
      <c r="S1314" s="420"/>
      <c r="T1314" s="420"/>
      <c r="U1314" s="420"/>
      <c r="V1314" s="420"/>
      <c r="W1314" s="420"/>
      <c r="X1314" s="420"/>
      <c r="Y1314" s="420"/>
      <c r="Z1314" s="420"/>
      <c r="AA1314" s="420"/>
      <c r="AB1314" s="420"/>
      <c r="AC1314" s="420"/>
      <c r="AD1314" s="420"/>
      <c r="AE1314" s="420"/>
      <c r="AF1314" s="420"/>
      <c r="AG1314" s="420"/>
      <c r="AH1314" s="420"/>
      <c r="AI1314" s="420"/>
      <c r="AJ1314" s="420"/>
      <c r="AK1314" s="420"/>
      <c r="AL1314" s="420"/>
      <c r="AM1314" s="420"/>
      <c r="AN1314" s="420"/>
      <c r="AO1314" s="420"/>
      <c r="AP1314" s="420"/>
      <c r="AQ1314" s="420"/>
      <c r="AR1314" s="420"/>
      <c r="AS1314" s="420"/>
      <c r="AT1314" s="420"/>
      <c r="AU1314" s="420"/>
      <c r="AV1314" s="420"/>
      <c r="AW1314" s="420"/>
      <c r="AX1314" s="420"/>
      <c r="AY1314" s="420"/>
      <c r="AZ1314" s="420"/>
      <c r="BA1314" s="420"/>
      <c r="BB1314" s="420"/>
      <c r="BC1314" s="420"/>
      <c r="BD1314" s="420"/>
      <c r="BE1314" s="420"/>
      <c r="BF1314" s="420"/>
      <c r="BG1314" s="420"/>
      <c r="BH1314" s="420"/>
      <c r="BI1314" s="420"/>
      <c r="BJ1314" s="420"/>
      <c r="BK1314" s="420"/>
      <c r="BL1314" s="420"/>
      <c r="BM1314" s="420"/>
      <c r="BN1314" s="420"/>
      <c r="BO1314" s="420"/>
      <c r="BP1314" s="420"/>
      <c r="BQ1314" s="420"/>
      <c r="BR1314" s="420"/>
      <c r="BS1314" s="420"/>
      <c r="BT1314" s="420"/>
      <c r="BU1314" s="420"/>
      <c r="BV1314" s="420"/>
      <c r="BW1314" s="420"/>
      <c r="BX1314" s="420"/>
      <c r="BY1314" s="420"/>
      <c r="BZ1314" s="420"/>
      <c r="CA1314" s="420"/>
      <c r="CB1314" s="420"/>
      <c r="CC1314" s="420"/>
      <c r="CD1314" s="420"/>
      <c r="CE1314" s="420"/>
      <c r="CF1314" s="420"/>
      <c r="CG1314" s="420"/>
      <c r="CH1314" s="420"/>
      <c r="CI1314" s="420"/>
      <c r="CJ1314" s="420"/>
      <c r="CK1314" s="420"/>
      <c r="CL1314" s="420"/>
      <c r="CM1314" s="420"/>
      <c r="CN1314" s="420"/>
      <c r="CO1314" s="420"/>
      <c r="CP1314" s="420"/>
      <c r="CQ1314" s="420"/>
      <c r="CR1314" s="420"/>
      <c r="CS1314" s="420"/>
      <c r="CT1314" s="420"/>
      <c r="CU1314" s="420"/>
      <c r="CV1314" s="420"/>
      <c r="CW1314" s="420"/>
      <c r="CX1314" s="420"/>
      <c r="CY1314" s="420"/>
      <c r="CZ1314" s="420"/>
      <c r="DA1314" s="420"/>
      <c r="DB1314" s="420"/>
      <c r="DC1314" s="420"/>
      <c r="DD1314" s="420"/>
      <c r="DE1314" s="420"/>
      <c r="DF1314" s="420"/>
      <c r="DG1314" s="420"/>
      <c r="DH1314" s="420"/>
      <c r="DI1314" s="420"/>
      <c r="DJ1314" s="420"/>
      <c r="DK1314" s="420"/>
      <c r="DL1314" s="420"/>
      <c r="DM1314" s="420"/>
      <c r="DN1314" s="420"/>
      <c r="DO1314" s="420"/>
      <c r="DP1314" s="420"/>
      <c r="DQ1314" s="420"/>
      <c r="DR1314" s="420"/>
      <c r="DS1314" s="420"/>
      <c r="DT1314" s="420"/>
      <c r="DU1314" s="420"/>
      <c r="DV1314" s="420"/>
      <c r="DW1314" s="420"/>
      <c r="DX1314" s="420"/>
      <c r="DY1314" s="420"/>
      <c r="DZ1314" s="420"/>
      <c r="EA1314" s="420"/>
      <c r="EB1314" s="420"/>
      <c r="EC1314" s="420"/>
      <c r="ED1314" s="420"/>
      <c r="EE1314" s="420"/>
      <c r="EF1314" s="420"/>
      <c r="EG1314" s="420"/>
      <c r="EH1314" s="420"/>
      <c r="EI1314" s="420"/>
      <c r="EJ1314" s="420"/>
      <c r="EK1314" s="420"/>
      <c r="EL1314" s="420"/>
      <c r="EM1314" s="420"/>
      <c r="EN1314" s="420"/>
      <c r="EO1314" s="420"/>
      <c r="EP1314" s="420"/>
      <c r="EQ1314" s="420"/>
      <c r="ER1314" s="420"/>
      <c r="ES1314" s="420"/>
      <c r="ET1314" s="420"/>
      <c r="EU1314" s="420"/>
      <c r="EV1314" s="420"/>
      <c r="EW1314" s="420"/>
      <c r="EX1314" s="420"/>
      <c r="EY1314" s="420"/>
      <c r="EZ1314" s="420"/>
      <c r="FA1314" s="420"/>
      <c r="FB1314" s="420"/>
      <c r="FC1314" s="420"/>
      <c r="FD1314" s="420"/>
      <c r="FE1314" s="420"/>
      <c r="FF1314" s="420"/>
      <c r="FG1314" s="420"/>
      <c r="FH1314" s="420"/>
      <c r="FI1314" s="420"/>
      <c r="FJ1314" s="420"/>
      <c r="FK1314" s="420"/>
      <c r="FL1314" s="420"/>
      <c r="FM1314" s="420"/>
      <c r="FN1314" s="420"/>
      <c r="FO1314" s="420"/>
      <c r="FP1314" s="420"/>
      <c r="FQ1314" s="420"/>
      <c r="FR1314" s="420"/>
      <c r="FS1314" s="420"/>
      <c r="FT1314" s="420"/>
      <c r="FU1314" s="420"/>
      <c r="FV1314" s="420"/>
      <c r="FW1314" s="420"/>
      <c r="FX1314" s="420"/>
      <c r="FY1314" s="420"/>
    </row>
    <row r="1315" spans="1:181" s="421" customFormat="1" ht="25.5">
      <c r="A1315" s="918" t="s">
        <v>964</v>
      </c>
      <c r="B1315" s="927" t="s">
        <v>965</v>
      </c>
      <c r="C1315" s="920" t="s">
        <v>350</v>
      </c>
      <c r="D1315" s="921">
        <v>140</v>
      </c>
      <c r="E1315" s="922"/>
      <c r="F1315" s="380">
        <f t="shared" si="49"/>
        <v>0</v>
      </c>
      <c r="G1315" s="420"/>
      <c r="H1315" s="420"/>
      <c r="I1315" s="420"/>
      <c r="J1315" s="420"/>
      <c r="K1315" s="420"/>
      <c r="L1315" s="420"/>
      <c r="M1315" s="420"/>
      <c r="N1315" s="640">
        <f t="shared" si="50"/>
        <v>0</v>
      </c>
      <c r="O1315" s="640">
        <f t="shared" si="51"/>
        <v>0</v>
      </c>
      <c r="P1315" s="420"/>
      <c r="Q1315" s="420"/>
      <c r="R1315" s="420"/>
      <c r="S1315" s="420"/>
      <c r="T1315" s="420"/>
      <c r="U1315" s="420"/>
      <c r="V1315" s="420"/>
      <c r="W1315" s="420"/>
      <c r="X1315" s="420"/>
      <c r="Y1315" s="420"/>
      <c r="Z1315" s="420"/>
      <c r="AA1315" s="420"/>
      <c r="AB1315" s="420"/>
      <c r="AC1315" s="420"/>
      <c r="AD1315" s="420"/>
      <c r="AE1315" s="420"/>
      <c r="AF1315" s="420"/>
      <c r="AG1315" s="420"/>
      <c r="AH1315" s="420"/>
      <c r="AI1315" s="420"/>
      <c r="AJ1315" s="420"/>
      <c r="AK1315" s="420"/>
      <c r="AL1315" s="420"/>
      <c r="AM1315" s="420"/>
      <c r="AN1315" s="420"/>
      <c r="AO1315" s="420"/>
      <c r="AP1315" s="420"/>
      <c r="AQ1315" s="420"/>
      <c r="AR1315" s="420"/>
      <c r="AS1315" s="420"/>
      <c r="AT1315" s="420"/>
      <c r="AU1315" s="420"/>
      <c r="AV1315" s="420"/>
      <c r="AW1315" s="420"/>
      <c r="AX1315" s="420"/>
      <c r="AY1315" s="420"/>
      <c r="AZ1315" s="420"/>
      <c r="BA1315" s="420"/>
      <c r="BB1315" s="420"/>
      <c r="BC1315" s="420"/>
      <c r="BD1315" s="420"/>
      <c r="BE1315" s="420"/>
      <c r="BF1315" s="420"/>
      <c r="BG1315" s="420"/>
      <c r="BH1315" s="420"/>
      <c r="BI1315" s="420"/>
      <c r="BJ1315" s="420"/>
      <c r="BK1315" s="420"/>
      <c r="BL1315" s="420"/>
      <c r="BM1315" s="420"/>
      <c r="BN1315" s="420"/>
      <c r="BO1315" s="420"/>
      <c r="BP1315" s="420"/>
      <c r="BQ1315" s="420"/>
      <c r="BR1315" s="420"/>
      <c r="BS1315" s="420"/>
      <c r="BT1315" s="420"/>
      <c r="BU1315" s="420"/>
      <c r="BV1315" s="420"/>
      <c r="BW1315" s="420"/>
      <c r="BX1315" s="420"/>
      <c r="BY1315" s="420"/>
      <c r="BZ1315" s="420"/>
      <c r="CA1315" s="420"/>
      <c r="CB1315" s="420"/>
      <c r="CC1315" s="420"/>
      <c r="CD1315" s="420"/>
      <c r="CE1315" s="420"/>
      <c r="CF1315" s="420"/>
      <c r="CG1315" s="420"/>
      <c r="CH1315" s="420"/>
      <c r="CI1315" s="420"/>
      <c r="CJ1315" s="420"/>
      <c r="CK1315" s="420"/>
      <c r="CL1315" s="420"/>
      <c r="CM1315" s="420"/>
      <c r="CN1315" s="420"/>
      <c r="CO1315" s="420"/>
      <c r="CP1315" s="420"/>
      <c r="CQ1315" s="420"/>
      <c r="CR1315" s="420"/>
      <c r="CS1315" s="420"/>
      <c r="CT1315" s="420"/>
      <c r="CU1315" s="420"/>
      <c r="CV1315" s="420"/>
      <c r="CW1315" s="420"/>
      <c r="CX1315" s="420"/>
      <c r="CY1315" s="420"/>
      <c r="CZ1315" s="420"/>
      <c r="DA1315" s="420"/>
      <c r="DB1315" s="420"/>
      <c r="DC1315" s="420"/>
      <c r="DD1315" s="420"/>
      <c r="DE1315" s="420"/>
      <c r="DF1315" s="420"/>
      <c r="DG1315" s="420"/>
      <c r="DH1315" s="420"/>
      <c r="DI1315" s="420"/>
      <c r="DJ1315" s="420"/>
      <c r="DK1315" s="420"/>
      <c r="DL1315" s="420"/>
      <c r="DM1315" s="420"/>
      <c r="DN1315" s="420"/>
      <c r="DO1315" s="420"/>
      <c r="DP1315" s="420"/>
      <c r="DQ1315" s="420"/>
      <c r="DR1315" s="420"/>
      <c r="DS1315" s="420"/>
      <c r="DT1315" s="420"/>
      <c r="DU1315" s="420"/>
      <c r="DV1315" s="420"/>
      <c r="DW1315" s="420"/>
      <c r="DX1315" s="420"/>
      <c r="DY1315" s="420"/>
      <c r="DZ1315" s="420"/>
      <c r="EA1315" s="420"/>
      <c r="EB1315" s="420"/>
      <c r="EC1315" s="420"/>
      <c r="ED1315" s="420"/>
      <c r="EE1315" s="420"/>
      <c r="EF1315" s="420"/>
      <c r="EG1315" s="420"/>
      <c r="EH1315" s="420"/>
      <c r="EI1315" s="420"/>
      <c r="EJ1315" s="420"/>
      <c r="EK1315" s="420"/>
      <c r="EL1315" s="420"/>
      <c r="EM1315" s="420"/>
      <c r="EN1315" s="420"/>
      <c r="EO1315" s="420"/>
      <c r="EP1315" s="420"/>
      <c r="EQ1315" s="420"/>
      <c r="ER1315" s="420"/>
      <c r="ES1315" s="420"/>
      <c r="ET1315" s="420"/>
      <c r="EU1315" s="420"/>
      <c r="EV1315" s="420"/>
      <c r="EW1315" s="420"/>
      <c r="EX1315" s="420"/>
      <c r="EY1315" s="420"/>
      <c r="EZ1315" s="420"/>
      <c r="FA1315" s="420"/>
      <c r="FB1315" s="420"/>
      <c r="FC1315" s="420"/>
      <c r="FD1315" s="420"/>
      <c r="FE1315" s="420"/>
      <c r="FF1315" s="420"/>
      <c r="FG1315" s="420"/>
      <c r="FH1315" s="420"/>
      <c r="FI1315" s="420"/>
      <c r="FJ1315" s="420"/>
      <c r="FK1315" s="420"/>
      <c r="FL1315" s="420"/>
      <c r="FM1315" s="420"/>
      <c r="FN1315" s="420"/>
      <c r="FO1315" s="420"/>
      <c r="FP1315" s="420"/>
      <c r="FQ1315" s="420"/>
      <c r="FR1315" s="420"/>
      <c r="FS1315" s="420"/>
      <c r="FT1315" s="420"/>
      <c r="FU1315" s="420"/>
      <c r="FV1315" s="420"/>
      <c r="FW1315" s="420"/>
      <c r="FX1315" s="420"/>
      <c r="FY1315" s="420"/>
    </row>
    <row r="1316" spans="1:181" s="421" customFormat="1" ht="76.5">
      <c r="A1316" s="918" t="s">
        <v>966</v>
      </c>
      <c r="B1316" s="973" t="s">
        <v>1259</v>
      </c>
      <c r="C1316" s="970" t="s">
        <v>47</v>
      </c>
      <c r="D1316" s="921">
        <v>1</v>
      </c>
      <c r="E1316" s="922"/>
      <c r="F1316" s="380">
        <f t="shared" si="49"/>
        <v>0</v>
      </c>
      <c r="G1316" s="420"/>
      <c r="H1316" s="420"/>
      <c r="I1316" s="420"/>
      <c r="J1316" s="420"/>
      <c r="K1316" s="420"/>
      <c r="L1316" s="420"/>
      <c r="M1316" s="420"/>
      <c r="N1316" s="640">
        <f t="shared" si="50"/>
        <v>0</v>
      </c>
      <c r="O1316" s="640">
        <f t="shared" si="51"/>
        <v>0</v>
      </c>
      <c r="P1316" s="420"/>
      <c r="Q1316" s="420"/>
      <c r="R1316" s="420"/>
      <c r="S1316" s="420"/>
      <c r="T1316" s="420"/>
      <c r="U1316" s="420"/>
      <c r="V1316" s="420"/>
      <c r="W1316" s="420"/>
      <c r="X1316" s="420"/>
      <c r="Y1316" s="420"/>
      <c r="Z1316" s="420"/>
      <c r="AA1316" s="420"/>
      <c r="AB1316" s="420"/>
      <c r="AC1316" s="420"/>
      <c r="AD1316" s="420"/>
      <c r="AE1316" s="420"/>
      <c r="AF1316" s="420"/>
      <c r="AG1316" s="420"/>
      <c r="AH1316" s="420"/>
      <c r="AI1316" s="420"/>
      <c r="AJ1316" s="420"/>
      <c r="AK1316" s="420"/>
      <c r="AL1316" s="420"/>
      <c r="AM1316" s="420"/>
      <c r="AN1316" s="420"/>
      <c r="AO1316" s="420"/>
      <c r="AP1316" s="420"/>
      <c r="AQ1316" s="420"/>
      <c r="AR1316" s="420"/>
      <c r="AS1316" s="420"/>
      <c r="AT1316" s="420"/>
      <c r="AU1316" s="420"/>
      <c r="AV1316" s="420"/>
      <c r="AW1316" s="420"/>
      <c r="AX1316" s="420"/>
      <c r="AY1316" s="420"/>
      <c r="AZ1316" s="420"/>
      <c r="BA1316" s="420"/>
      <c r="BB1316" s="420"/>
      <c r="BC1316" s="420"/>
      <c r="BD1316" s="420"/>
      <c r="BE1316" s="420"/>
      <c r="BF1316" s="420"/>
      <c r="BG1316" s="420"/>
      <c r="BH1316" s="420"/>
      <c r="BI1316" s="420"/>
      <c r="BJ1316" s="420"/>
      <c r="BK1316" s="420"/>
      <c r="BL1316" s="420"/>
      <c r="BM1316" s="420"/>
      <c r="BN1316" s="420"/>
      <c r="BO1316" s="420"/>
      <c r="BP1316" s="420"/>
      <c r="BQ1316" s="420"/>
      <c r="BR1316" s="420"/>
      <c r="BS1316" s="420"/>
      <c r="BT1316" s="420"/>
      <c r="BU1316" s="420"/>
      <c r="BV1316" s="420"/>
      <c r="BW1316" s="420"/>
      <c r="BX1316" s="420"/>
      <c r="BY1316" s="420"/>
      <c r="BZ1316" s="420"/>
      <c r="CA1316" s="420"/>
      <c r="CB1316" s="420"/>
      <c r="CC1316" s="420"/>
      <c r="CD1316" s="420"/>
      <c r="CE1316" s="420"/>
      <c r="CF1316" s="420"/>
      <c r="CG1316" s="420"/>
      <c r="CH1316" s="420"/>
      <c r="CI1316" s="420"/>
      <c r="CJ1316" s="420"/>
      <c r="CK1316" s="420"/>
      <c r="CL1316" s="420"/>
      <c r="CM1316" s="420"/>
      <c r="CN1316" s="420"/>
      <c r="CO1316" s="420"/>
      <c r="CP1316" s="420"/>
      <c r="CQ1316" s="420"/>
      <c r="CR1316" s="420"/>
      <c r="CS1316" s="420"/>
      <c r="CT1316" s="420"/>
      <c r="CU1316" s="420"/>
      <c r="CV1316" s="420"/>
      <c r="CW1316" s="420"/>
      <c r="CX1316" s="420"/>
      <c r="CY1316" s="420"/>
      <c r="CZ1316" s="420"/>
      <c r="DA1316" s="420"/>
      <c r="DB1316" s="420"/>
      <c r="DC1316" s="420"/>
      <c r="DD1316" s="420"/>
      <c r="DE1316" s="420"/>
      <c r="DF1316" s="420"/>
      <c r="DG1316" s="420"/>
      <c r="DH1316" s="420"/>
      <c r="DI1316" s="420"/>
      <c r="DJ1316" s="420"/>
      <c r="DK1316" s="420"/>
      <c r="DL1316" s="420"/>
      <c r="DM1316" s="420"/>
      <c r="DN1316" s="420"/>
      <c r="DO1316" s="420"/>
      <c r="DP1316" s="420"/>
      <c r="DQ1316" s="420"/>
      <c r="DR1316" s="420"/>
      <c r="DS1316" s="420"/>
      <c r="DT1316" s="420"/>
      <c r="DU1316" s="420"/>
      <c r="DV1316" s="420"/>
      <c r="DW1316" s="420"/>
      <c r="DX1316" s="420"/>
      <c r="DY1316" s="420"/>
      <c r="DZ1316" s="420"/>
      <c r="EA1316" s="420"/>
      <c r="EB1316" s="420"/>
      <c r="EC1316" s="420"/>
      <c r="ED1316" s="420"/>
      <c r="EE1316" s="420"/>
      <c r="EF1316" s="420"/>
      <c r="EG1316" s="420"/>
      <c r="EH1316" s="420"/>
      <c r="EI1316" s="420"/>
      <c r="EJ1316" s="420"/>
      <c r="EK1316" s="420"/>
      <c r="EL1316" s="420"/>
      <c r="EM1316" s="420"/>
      <c r="EN1316" s="420"/>
      <c r="EO1316" s="420"/>
      <c r="EP1316" s="420"/>
      <c r="EQ1316" s="420"/>
      <c r="ER1316" s="420"/>
      <c r="ES1316" s="420"/>
      <c r="ET1316" s="420"/>
      <c r="EU1316" s="420"/>
      <c r="EV1316" s="420"/>
      <c r="EW1316" s="420"/>
      <c r="EX1316" s="420"/>
      <c r="EY1316" s="420"/>
      <c r="EZ1316" s="420"/>
      <c r="FA1316" s="420"/>
      <c r="FB1316" s="420"/>
      <c r="FC1316" s="420"/>
      <c r="FD1316" s="420"/>
      <c r="FE1316" s="420"/>
      <c r="FF1316" s="420"/>
      <c r="FG1316" s="420"/>
      <c r="FH1316" s="420"/>
      <c r="FI1316" s="420"/>
      <c r="FJ1316" s="420"/>
      <c r="FK1316" s="420"/>
      <c r="FL1316" s="420"/>
      <c r="FM1316" s="420"/>
      <c r="FN1316" s="420"/>
      <c r="FO1316" s="420"/>
      <c r="FP1316" s="420"/>
      <c r="FQ1316" s="420"/>
      <c r="FR1316" s="420"/>
      <c r="FS1316" s="420"/>
      <c r="FT1316" s="420"/>
      <c r="FU1316" s="420"/>
      <c r="FV1316" s="420"/>
      <c r="FW1316" s="420"/>
      <c r="FX1316" s="420"/>
      <c r="FY1316" s="420"/>
    </row>
    <row r="1317" spans="1:181" s="421" customFormat="1" ht="12.75">
      <c r="A1317" s="918"/>
      <c r="B1317" s="972" t="s">
        <v>933</v>
      </c>
      <c r="C1317" s="970"/>
      <c r="D1317" s="921"/>
      <c r="E1317" s="922"/>
      <c r="F1317" s="923"/>
      <c r="G1317" s="420"/>
      <c r="H1317" s="420"/>
      <c r="I1317" s="420"/>
      <c r="J1317" s="420"/>
      <c r="K1317" s="420"/>
      <c r="L1317" s="420"/>
      <c r="M1317" s="420"/>
      <c r="N1317" s="646"/>
      <c r="O1317" s="646"/>
      <c r="P1317" s="420"/>
      <c r="Q1317" s="420"/>
      <c r="R1317" s="420"/>
      <c r="S1317" s="420"/>
      <c r="T1317" s="420"/>
      <c r="U1317" s="420"/>
      <c r="V1317" s="420"/>
      <c r="W1317" s="420"/>
      <c r="X1317" s="420"/>
      <c r="Y1317" s="420"/>
      <c r="Z1317" s="420"/>
      <c r="AA1317" s="420"/>
      <c r="AB1317" s="420"/>
      <c r="AC1317" s="420"/>
      <c r="AD1317" s="420"/>
      <c r="AE1317" s="420"/>
      <c r="AF1317" s="420"/>
      <c r="AG1317" s="420"/>
      <c r="AH1317" s="420"/>
      <c r="AI1317" s="420"/>
      <c r="AJ1317" s="420"/>
      <c r="AK1317" s="420"/>
      <c r="AL1317" s="420"/>
      <c r="AM1317" s="420"/>
      <c r="AN1317" s="420"/>
      <c r="AO1317" s="420"/>
      <c r="AP1317" s="420"/>
      <c r="AQ1317" s="420"/>
      <c r="AR1317" s="420"/>
      <c r="AS1317" s="420"/>
      <c r="AT1317" s="420"/>
      <c r="AU1317" s="420"/>
      <c r="AV1317" s="420"/>
      <c r="AW1317" s="420"/>
      <c r="AX1317" s="420"/>
      <c r="AY1317" s="420"/>
      <c r="AZ1317" s="420"/>
      <c r="BA1317" s="420"/>
      <c r="BB1317" s="420"/>
      <c r="BC1317" s="420"/>
      <c r="BD1317" s="420"/>
      <c r="BE1317" s="420"/>
      <c r="BF1317" s="420"/>
      <c r="BG1317" s="420"/>
      <c r="BH1317" s="420"/>
      <c r="BI1317" s="420"/>
      <c r="BJ1317" s="420"/>
      <c r="BK1317" s="420"/>
      <c r="BL1317" s="420"/>
      <c r="BM1317" s="420"/>
      <c r="BN1317" s="420"/>
      <c r="BO1317" s="420"/>
      <c r="BP1317" s="420"/>
      <c r="BQ1317" s="420"/>
      <c r="BR1317" s="420"/>
      <c r="BS1317" s="420"/>
      <c r="BT1317" s="420"/>
      <c r="BU1317" s="420"/>
      <c r="BV1317" s="420"/>
      <c r="BW1317" s="420"/>
      <c r="BX1317" s="420"/>
      <c r="BY1317" s="420"/>
      <c r="BZ1317" s="420"/>
      <c r="CA1317" s="420"/>
      <c r="CB1317" s="420"/>
      <c r="CC1317" s="420"/>
      <c r="CD1317" s="420"/>
      <c r="CE1317" s="420"/>
      <c r="CF1317" s="420"/>
      <c r="CG1317" s="420"/>
      <c r="CH1317" s="420"/>
      <c r="CI1317" s="420"/>
      <c r="CJ1317" s="420"/>
      <c r="CK1317" s="420"/>
      <c r="CL1317" s="420"/>
      <c r="CM1317" s="420"/>
      <c r="CN1317" s="420"/>
      <c r="CO1317" s="420"/>
      <c r="CP1317" s="420"/>
      <c r="CQ1317" s="420"/>
      <c r="CR1317" s="420"/>
      <c r="CS1317" s="420"/>
      <c r="CT1317" s="420"/>
      <c r="CU1317" s="420"/>
      <c r="CV1317" s="420"/>
      <c r="CW1317" s="420"/>
      <c r="CX1317" s="420"/>
      <c r="CY1317" s="420"/>
      <c r="CZ1317" s="420"/>
      <c r="DA1317" s="420"/>
      <c r="DB1317" s="420"/>
      <c r="DC1317" s="420"/>
      <c r="DD1317" s="420"/>
      <c r="DE1317" s="420"/>
      <c r="DF1317" s="420"/>
      <c r="DG1317" s="420"/>
      <c r="DH1317" s="420"/>
      <c r="DI1317" s="420"/>
      <c r="DJ1317" s="420"/>
      <c r="DK1317" s="420"/>
      <c r="DL1317" s="420"/>
      <c r="DM1317" s="420"/>
      <c r="DN1317" s="420"/>
      <c r="DO1317" s="420"/>
      <c r="DP1317" s="420"/>
      <c r="DQ1317" s="420"/>
      <c r="DR1317" s="420"/>
      <c r="DS1317" s="420"/>
      <c r="DT1317" s="420"/>
      <c r="DU1317" s="420"/>
      <c r="DV1317" s="420"/>
      <c r="DW1317" s="420"/>
      <c r="DX1317" s="420"/>
      <c r="DY1317" s="420"/>
      <c r="DZ1317" s="420"/>
      <c r="EA1317" s="420"/>
      <c r="EB1317" s="420"/>
      <c r="EC1317" s="420"/>
      <c r="ED1317" s="420"/>
      <c r="EE1317" s="420"/>
      <c r="EF1317" s="420"/>
      <c r="EG1317" s="420"/>
      <c r="EH1317" s="420"/>
      <c r="EI1317" s="420"/>
      <c r="EJ1317" s="420"/>
      <c r="EK1317" s="420"/>
      <c r="EL1317" s="420"/>
      <c r="EM1317" s="420"/>
      <c r="EN1317" s="420"/>
      <c r="EO1317" s="420"/>
      <c r="EP1317" s="420"/>
      <c r="EQ1317" s="420"/>
      <c r="ER1317" s="420"/>
      <c r="ES1317" s="420"/>
      <c r="ET1317" s="420"/>
      <c r="EU1317" s="420"/>
      <c r="EV1317" s="420"/>
      <c r="EW1317" s="420"/>
      <c r="EX1317" s="420"/>
      <c r="EY1317" s="420"/>
      <c r="EZ1317" s="420"/>
      <c r="FA1317" s="420"/>
      <c r="FB1317" s="420"/>
      <c r="FC1317" s="420"/>
      <c r="FD1317" s="420"/>
      <c r="FE1317" s="420"/>
      <c r="FF1317" s="420"/>
      <c r="FG1317" s="420"/>
      <c r="FH1317" s="420"/>
      <c r="FI1317" s="420"/>
      <c r="FJ1317" s="420"/>
      <c r="FK1317" s="420"/>
      <c r="FL1317" s="420"/>
      <c r="FM1317" s="420"/>
      <c r="FN1317" s="420"/>
      <c r="FO1317" s="420"/>
      <c r="FP1317" s="420"/>
      <c r="FQ1317" s="420"/>
      <c r="FR1317" s="420"/>
      <c r="FS1317" s="420"/>
      <c r="FT1317" s="420"/>
      <c r="FU1317" s="420"/>
      <c r="FV1317" s="420"/>
      <c r="FW1317" s="420"/>
      <c r="FX1317" s="420"/>
      <c r="FY1317" s="420"/>
    </row>
    <row r="1318" spans="1:181" s="421" customFormat="1" ht="216.75">
      <c r="A1318" s="918" t="s">
        <v>967</v>
      </c>
      <c r="B1318" s="927" t="s">
        <v>968</v>
      </c>
      <c r="C1318" s="920" t="s">
        <v>47</v>
      </c>
      <c r="D1318" s="921">
        <v>1</v>
      </c>
      <c r="E1318" s="922"/>
      <c r="F1318" s="380"/>
      <c r="G1318" s="420"/>
      <c r="H1318" s="420"/>
      <c r="I1318" s="420"/>
      <c r="J1318" s="420"/>
      <c r="K1318" s="420"/>
      <c r="L1318" s="420"/>
      <c r="M1318" s="420"/>
      <c r="N1318" s="640"/>
      <c r="O1318" s="640"/>
      <c r="P1318" s="420"/>
      <c r="Q1318" s="420"/>
      <c r="R1318" s="420"/>
      <c r="S1318" s="420"/>
      <c r="T1318" s="420"/>
      <c r="U1318" s="420"/>
      <c r="V1318" s="420"/>
      <c r="W1318" s="420"/>
      <c r="X1318" s="420"/>
      <c r="Y1318" s="420"/>
      <c r="Z1318" s="420"/>
      <c r="AA1318" s="420"/>
      <c r="AB1318" s="420"/>
      <c r="AC1318" s="420"/>
      <c r="AD1318" s="420"/>
      <c r="AE1318" s="420"/>
      <c r="AF1318" s="420"/>
      <c r="AG1318" s="420"/>
      <c r="AH1318" s="420"/>
      <c r="AI1318" s="420"/>
      <c r="AJ1318" s="420"/>
      <c r="AK1318" s="420"/>
      <c r="AL1318" s="420"/>
      <c r="AM1318" s="420"/>
      <c r="AN1318" s="420"/>
      <c r="AO1318" s="420"/>
      <c r="AP1318" s="420"/>
      <c r="AQ1318" s="420"/>
      <c r="AR1318" s="420"/>
      <c r="AS1318" s="420"/>
      <c r="AT1318" s="420"/>
      <c r="AU1318" s="420"/>
      <c r="AV1318" s="420"/>
      <c r="AW1318" s="420"/>
      <c r="AX1318" s="420"/>
      <c r="AY1318" s="420"/>
      <c r="AZ1318" s="420"/>
      <c r="BA1318" s="420"/>
      <c r="BB1318" s="420"/>
      <c r="BC1318" s="420"/>
      <c r="BD1318" s="420"/>
      <c r="BE1318" s="420"/>
      <c r="BF1318" s="420"/>
      <c r="BG1318" s="420"/>
      <c r="BH1318" s="420"/>
      <c r="BI1318" s="420"/>
      <c r="BJ1318" s="420"/>
      <c r="BK1318" s="420"/>
      <c r="BL1318" s="420"/>
      <c r="BM1318" s="420"/>
      <c r="BN1318" s="420"/>
      <c r="BO1318" s="420"/>
      <c r="BP1318" s="420"/>
      <c r="BQ1318" s="420"/>
      <c r="BR1318" s="420"/>
      <c r="BS1318" s="420"/>
      <c r="BT1318" s="420"/>
      <c r="BU1318" s="420"/>
      <c r="BV1318" s="420"/>
      <c r="BW1318" s="420"/>
      <c r="BX1318" s="420"/>
      <c r="BY1318" s="420"/>
      <c r="BZ1318" s="420"/>
      <c r="CA1318" s="420"/>
      <c r="CB1318" s="420"/>
      <c r="CC1318" s="420"/>
      <c r="CD1318" s="420"/>
      <c r="CE1318" s="420"/>
      <c r="CF1318" s="420"/>
      <c r="CG1318" s="420"/>
      <c r="CH1318" s="420"/>
      <c r="CI1318" s="420"/>
      <c r="CJ1318" s="420"/>
      <c r="CK1318" s="420"/>
      <c r="CL1318" s="420"/>
      <c r="CM1318" s="420"/>
      <c r="CN1318" s="420"/>
      <c r="CO1318" s="420"/>
      <c r="CP1318" s="420"/>
      <c r="CQ1318" s="420"/>
      <c r="CR1318" s="420"/>
      <c r="CS1318" s="420"/>
      <c r="CT1318" s="420"/>
      <c r="CU1318" s="420"/>
      <c r="CV1318" s="420"/>
      <c r="CW1318" s="420"/>
      <c r="CX1318" s="420"/>
      <c r="CY1318" s="420"/>
      <c r="CZ1318" s="420"/>
      <c r="DA1318" s="420"/>
      <c r="DB1318" s="420"/>
      <c r="DC1318" s="420"/>
      <c r="DD1318" s="420"/>
      <c r="DE1318" s="420"/>
      <c r="DF1318" s="420"/>
      <c r="DG1318" s="420"/>
      <c r="DH1318" s="420"/>
      <c r="DI1318" s="420"/>
      <c r="DJ1318" s="420"/>
      <c r="DK1318" s="420"/>
      <c r="DL1318" s="420"/>
      <c r="DM1318" s="420"/>
      <c r="DN1318" s="420"/>
      <c r="DO1318" s="420"/>
      <c r="DP1318" s="420"/>
      <c r="DQ1318" s="420"/>
      <c r="DR1318" s="420"/>
      <c r="DS1318" s="420"/>
      <c r="DT1318" s="420"/>
      <c r="DU1318" s="420"/>
      <c r="DV1318" s="420"/>
      <c r="DW1318" s="420"/>
      <c r="DX1318" s="420"/>
      <c r="DY1318" s="420"/>
      <c r="DZ1318" s="420"/>
      <c r="EA1318" s="420"/>
      <c r="EB1318" s="420"/>
      <c r="EC1318" s="420"/>
      <c r="ED1318" s="420"/>
      <c r="EE1318" s="420"/>
      <c r="EF1318" s="420"/>
      <c r="EG1318" s="420"/>
      <c r="EH1318" s="420"/>
      <c r="EI1318" s="420"/>
      <c r="EJ1318" s="420"/>
      <c r="EK1318" s="420"/>
      <c r="EL1318" s="420"/>
      <c r="EM1318" s="420"/>
      <c r="EN1318" s="420"/>
      <c r="EO1318" s="420"/>
      <c r="EP1318" s="420"/>
      <c r="EQ1318" s="420"/>
      <c r="ER1318" s="420"/>
      <c r="ES1318" s="420"/>
      <c r="ET1318" s="420"/>
      <c r="EU1318" s="420"/>
      <c r="EV1318" s="420"/>
      <c r="EW1318" s="420"/>
      <c r="EX1318" s="420"/>
      <c r="EY1318" s="420"/>
      <c r="EZ1318" s="420"/>
      <c r="FA1318" s="420"/>
      <c r="FB1318" s="420"/>
      <c r="FC1318" s="420"/>
      <c r="FD1318" s="420"/>
      <c r="FE1318" s="420"/>
      <c r="FF1318" s="420"/>
      <c r="FG1318" s="420"/>
      <c r="FH1318" s="420"/>
      <c r="FI1318" s="420"/>
      <c r="FJ1318" s="420"/>
      <c r="FK1318" s="420"/>
      <c r="FL1318" s="420"/>
      <c r="FM1318" s="420"/>
      <c r="FN1318" s="420"/>
      <c r="FO1318" s="420"/>
      <c r="FP1318" s="420"/>
      <c r="FQ1318" s="420"/>
      <c r="FR1318" s="420"/>
      <c r="FS1318" s="420"/>
      <c r="FT1318" s="420"/>
      <c r="FU1318" s="420"/>
      <c r="FV1318" s="420"/>
      <c r="FW1318" s="420"/>
      <c r="FX1318" s="420"/>
      <c r="FY1318" s="420"/>
    </row>
    <row r="1319" spans="1:181" s="421" customFormat="1" ht="25.5">
      <c r="A1319" s="918" t="s">
        <v>969</v>
      </c>
      <c r="B1319" s="973" t="s">
        <v>970</v>
      </c>
      <c r="C1319" s="970" t="s">
        <v>863</v>
      </c>
      <c r="D1319" s="921">
        <v>1</v>
      </c>
      <c r="E1319" s="922"/>
      <c r="F1319" s="380">
        <f>D1319*E1319</f>
        <v>0</v>
      </c>
      <c r="G1319" s="420"/>
      <c r="H1319" s="420"/>
      <c r="I1319" s="420"/>
      <c r="J1319" s="420"/>
      <c r="K1319" s="420"/>
      <c r="L1319" s="420"/>
      <c r="M1319" s="420"/>
      <c r="N1319" s="640">
        <f>E1319*1.2</f>
        <v>0</v>
      </c>
      <c r="O1319" s="640">
        <f>N1319*D1319</f>
        <v>0</v>
      </c>
      <c r="P1319" s="420"/>
      <c r="Q1319" s="420"/>
      <c r="R1319" s="420"/>
      <c r="S1319" s="420"/>
      <c r="T1319" s="420"/>
      <c r="U1319" s="420"/>
      <c r="V1319" s="420"/>
      <c r="W1319" s="420"/>
      <c r="X1319" s="420"/>
      <c r="Y1319" s="420"/>
      <c r="Z1319" s="420"/>
      <c r="AA1319" s="420"/>
      <c r="AB1319" s="420"/>
      <c r="AC1319" s="420"/>
      <c r="AD1319" s="420"/>
      <c r="AE1319" s="420"/>
      <c r="AF1319" s="420"/>
      <c r="AG1319" s="420"/>
      <c r="AH1319" s="420"/>
      <c r="AI1319" s="420"/>
      <c r="AJ1319" s="420"/>
      <c r="AK1319" s="420"/>
      <c r="AL1319" s="420"/>
      <c r="AM1319" s="420"/>
      <c r="AN1319" s="420"/>
      <c r="AO1319" s="420"/>
      <c r="AP1319" s="420"/>
      <c r="AQ1319" s="420"/>
      <c r="AR1319" s="420"/>
      <c r="AS1319" s="420"/>
      <c r="AT1319" s="420"/>
      <c r="AU1319" s="420"/>
      <c r="AV1319" s="420"/>
      <c r="AW1319" s="420"/>
      <c r="AX1319" s="420"/>
      <c r="AY1319" s="420"/>
      <c r="AZ1319" s="420"/>
      <c r="BA1319" s="420"/>
      <c r="BB1319" s="420"/>
      <c r="BC1319" s="420"/>
      <c r="BD1319" s="420"/>
      <c r="BE1319" s="420"/>
      <c r="BF1319" s="420"/>
      <c r="BG1319" s="420"/>
      <c r="BH1319" s="420"/>
      <c r="BI1319" s="420"/>
      <c r="BJ1319" s="420"/>
      <c r="BK1319" s="420"/>
      <c r="BL1319" s="420"/>
      <c r="BM1319" s="420"/>
      <c r="BN1319" s="420"/>
      <c r="BO1319" s="420"/>
      <c r="BP1319" s="420"/>
      <c r="BQ1319" s="420"/>
      <c r="BR1319" s="420"/>
      <c r="BS1319" s="420"/>
      <c r="BT1319" s="420"/>
      <c r="BU1319" s="420"/>
      <c r="BV1319" s="420"/>
      <c r="BW1319" s="420"/>
      <c r="BX1319" s="420"/>
      <c r="BY1319" s="420"/>
      <c r="BZ1319" s="420"/>
      <c r="CA1319" s="420"/>
      <c r="CB1319" s="420"/>
      <c r="CC1319" s="420"/>
      <c r="CD1319" s="420"/>
      <c r="CE1319" s="420"/>
      <c r="CF1319" s="420"/>
      <c r="CG1319" s="420"/>
      <c r="CH1319" s="420"/>
      <c r="CI1319" s="420"/>
      <c r="CJ1319" s="420"/>
      <c r="CK1319" s="420"/>
      <c r="CL1319" s="420"/>
      <c r="CM1319" s="420"/>
      <c r="CN1319" s="420"/>
      <c r="CO1319" s="420"/>
      <c r="CP1319" s="420"/>
      <c r="CQ1319" s="420"/>
      <c r="CR1319" s="420"/>
      <c r="CS1319" s="420"/>
      <c r="CT1319" s="420"/>
      <c r="CU1319" s="420"/>
      <c r="CV1319" s="420"/>
      <c r="CW1319" s="420"/>
      <c r="CX1319" s="420"/>
      <c r="CY1319" s="420"/>
      <c r="CZ1319" s="420"/>
      <c r="DA1319" s="420"/>
      <c r="DB1319" s="420"/>
      <c r="DC1319" s="420"/>
      <c r="DD1319" s="420"/>
      <c r="DE1319" s="420"/>
      <c r="DF1319" s="420"/>
      <c r="DG1319" s="420"/>
      <c r="DH1319" s="420"/>
      <c r="DI1319" s="420"/>
      <c r="DJ1319" s="420"/>
      <c r="DK1319" s="420"/>
      <c r="DL1319" s="420"/>
      <c r="DM1319" s="420"/>
      <c r="DN1319" s="420"/>
      <c r="DO1319" s="420"/>
      <c r="DP1319" s="420"/>
      <c r="DQ1319" s="420"/>
      <c r="DR1319" s="420"/>
      <c r="DS1319" s="420"/>
      <c r="DT1319" s="420"/>
      <c r="DU1319" s="420"/>
      <c r="DV1319" s="420"/>
      <c r="DW1319" s="420"/>
      <c r="DX1319" s="420"/>
      <c r="DY1319" s="420"/>
      <c r="DZ1319" s="420"/>
      <c r="EA1319" s="420"/>
      <c r="EB1319" s="420"/>
      <c r="EC1319" s="420"/>
      <c r="ED1319" s="420"/>
      <c r="EE1319" s="420"/>
      <c r="EF1319" s="420"/>
      <c r="EG1319" s="420"/>
      <c r="EH1319" s="420"/>
      <c r="EI1319" s="420"/>
      <c r="EJ1319" s="420"/>
      <c r="EK1319" s="420"/>
      <c r="EL1319" s="420"/>
      <c r="EM1319" s="420"/>
      <c r="EN1319" s="420"/>
      <c r="EO1319" s="420"/>
      <c r="EP1319" s="420"/>
      <c r="EQ1319" s="420"/>
      <c r="ER1319" s="420"/>
      <c r="ES1319" s="420"/>
      <c r="ET1319" s="420"/>
      <c r="EU1319" s="420"/>
      <c r="EV1319" s="420"/>
      <c r="EW1319" s="420"/>
      <c r="EX1319" s="420"/>
      <c r="EY1319" s="420"/>
      <c r="EZ1319" s="420"/>
      <c r="FA1319" s="420"/>
      <c r="FB1319" s="420"/>
      <c r="FC1319" s="420"/>
      <c r="FD1319" s="420"/>
      <c r="FE1319" s="420"/>
      <c r="FF1319" s="420"/>
      <c r="FG1319" s="420"/>
      <c r="FH1319" s="420"/>
      <c r="FI1319" s="420"/>
      <c r="FJ1319" s="420"/>
      <c r="FK1319" s="420"/>
      <c r="FL1319" s="420"/>
      <c r="FM1319" s="420"/>
      <c r="FN1319" s="420"/>
      <c r="FO1319" s="420"/>
      <c r="FP1319" s="420"/>
      <c r="FQ1319" s="420"/>
      <c r="FR1319" s="420"/>
      <c r="FS1319" s="420"/>
      <c r="FT1319" s="420"/>
      <c r="FU1319" s="420"/>
      <c r="FV1319" s="420"/>
      <c r="FW1319" s="420"/>
      <c r="FX1319" s="420"/>
      <c r="FY1319" s="420"/>
    </row>
    <row r="1320" spans="1:181" s="421" customFormat="1" ht="114.75">
      <c r="A1320" s="918" t="s">
        <v>971</v>
      </c>
      <c r="B1320" s="973" t="s">
        <v>972</v>
      </c>
      <c r="C1320" s="970" t="s">
        <v>863</v>
      </c>
      <c r="D1320" s="921">
        <v>1</v>
      </c>
      <c r="E1320" s="922"/>
      <c r="F1320" s="380">
        <f>D1320*E1320</f>
        <v>0</v>
      </c>
      <c r="G1320" s="420"/>
      <c r="H1320" s="420"/>
      <c r="I1320" s="420"/>
      <c r="J1320" s="420"/>
      <c r="K1320" s="420"/>
      <c r="L1320" s="420"/>
      <c r="M1320" s="420"/>
      <c r="N1320" s="640">
        <f>E1320*1.2</f>
        <v>0</v>
      </c>
      <c r="O1320" s="640">
        <f>N1320*D1320</f>
        <v>0</v>
      </c>
      <c r="P1320" s="420"/>
      <c r="Q1320" s="420"/>
      <c r="R1320" s="420"/>
      <c r="S1320" s="420"/>
      <c r="T1320" s="420"/>
      <c r="U1320" s="420"/>
      <c r="V1320" s="420"/>
      <c r="W1320" s="420"/>
      <c r="X1320" s="420"/>
      <c r="Y1320" s="420"/>
      <c r="Z1320" s="420"/>
      <c r="AA1320" s="420"/>
      <c r="AB1320" s="420"/>
      <c r="AC1320" s="420"/>
      <c r="AD1320" s="420"/>
      <c r="AE1320" s="420"/>
      <c r="AF1320" s="420"/>
      <c r="AG1320" s="420"/>
      <c r="AH1320" s="420"/>
      <c r="AI1320" s="420"/>
      <c r="AJ1320" s="420"/>
      <c r="AK1320" s="420"/>
      <c r="AL1320" s="420"/>
      <c r="AM1320" s="420"/>
      <c r="AN1320" s="420"/>
      <c r="AO1320" s="420"/>
      <c r="AP1320" s="420"/>
      <c r="AQ1320" s="420"/>
      <c r="AR1320" s="420"/>
      <c r="AS1320" s="420"/>
      <c r="AT1320" s="420"/>
      <c r="AU1320" s="420"/>
      <c r="AV1320" s="420"/>
      <c r="AW1320" s="420"/>
      <c r="AX1320" s="420"/>
      <c r="AY1320" s="420"/>
      <c r="AZ1320" s="420"/>
      <c r="BA1320" s="420"/>
      <c r="BB1320" s="420"/>
      <c r="BC1320" s="420"/>
      <c r="BD1320" s="420"/>
      <c r="BE1320" s="420"/>
      <c r="BF1320" s="420"/>
      <c r="BG1320" s="420"/>
      <c r="BH1320" s="420"/>
      <c r="BI1320" s="420"/>
      <c r="BJ1320" s="420"/>
      <c r="BK1320" s="420"/>
      <c r="BL1320" s="420"/>
      <c r="BM1320" s="420"/>
      <c r="BN1320" s="420"/>
      <c r="BO1320" s="420"/>
      <c r="BP1320" s="420"/>
      <c r="BQ1320" s="420"/>
      <c r="BR1320" s="420"/>
      <c r="BS1320" s="420"/>
      <c r="BT1320" s="420"/>
      <c r="BU1320" s="420"/>
      <c r="BV1320" s="420"/>
      <c r="BW1320" s="420"/>
      <c r="BX1320" s="420"/>
      <c r="BY1320" s="420"/>
      <c r="BZ1320" s="420"/>
      <c r="CA1320" s="420"/>
      <c r="CB1320" s="420"/>
      <c r="CC1320" s="420"/>
      <c r="CD1320" s="420"/>
      <c r="CE1320" s="420"/>
      <c r="CF1320" s="420"/>
      <c r="CG1320" s="420"/>
      <c r="CH1320" s="420"/>
      <c r="CI1320" s="420"/>
      <c r="CJ1320" s="420"/>
      <c r="CK1320" s="420"/>
      <c r="CL1320" s="420"/>
      <c r="CM1320" s="420"/>
      <c r="CN1320" s="420"/>
      <c r="CO1320" s="420"/>
      <c r="CP1320" s="420"/>
      <c r="CQ1320" s="420"/>
      <c r="CR1320" s="420"/>
      <c r="CS1320" s="420"/>
      <c r="CT1320" s="420"/>
      <c r="CU1320" s="420"/>
      <c r="CV1320" s="420"/>
      <c r="CW1320" s="420"/>
      <c r="CX1320" s="420"/>
      <c r="CY1320" s="420"/>
      <c r="CZ1320" s="420"/>
      <c r="DA1320" s="420"/>
      <c r="DB1320" s="420"/>
      <c r="DC1320" s="420"/>
      <c r="DD1320" s="420"/>
      <c r="DE1320" s="420"/>
      <c r="DF1320" s="420"/>
      <c r="DG1320" s="420"/>
      <c r="DH1320" s="420"/>
      <c r="DI1320" s="420"/>
      <c r="DJ1320" s="420"/>
      <c r="DK1320" s="420"/>
      <c r="DL1320" s="420"/>
      <c r="DM1320" s="420"/>
      <c r="DN1320" s="420"/>
      <c r="DO1320" s="420"/>
      <c r="DP1320" s="420"/>
      <c r="DQ1320" s="420"/>
      <c r="DR1320" s="420"/>
      <c r="DS1320" s="420"/>
      <c r="DT1320" s="420"/>
      <c r="DU1320" s="420"/>
      <c r="DV1320" s="420"/>
      <c r="DW1320" s="420"/>
      <c r="DX1320" s="420"/>
      <c r="DY1320" s="420"/>
      <c r="DZ1320" s="420"/>
      <c r="EA1320" s="420"/>
      <c r="EB1320" s="420"/>
      <c r="EC1320" s="420"/>
      <c r="ED1320" s="420"/>
      <c r="EE1320" s="420"/>
      <c r="EF1320" s="420"/>
      <c r="EG1320" s="420"/>
      <c r="EH1320" s="420"/>
      <c r="EI1320" s="420"/>
      <c r="EJ1320" s="420"/>
      <c r="EK1320" s="420"/>
      <c r="EL1320" s="420"/>
      <c r="EM1320" s="420"/>
      <c r="EN1320" s="420"/>
      <c r="EO1320" s="420"/>
      <c r="EP1320" s="420"/>
      <c r="EQ1320" s="420"/>
      <c r="ER1320" s="420"/>
      <c r="ES1320" s="420"/>
      <c r="ET1320" s="420"/>
      <c r="EU1320" s="420"/>
      <c r="EV1320" s="420"/>
      <c r="EW1320" s="420"/>
      <c r="EX1320" s="420"/>
      <c r="EY1320" s="420"/>
      <c r="EZ1320" s="420"/>
      <c r="FA1320" s="420"/>
      <c r="FB1320" s="420"/>
      <c r="FC1320" s="420"/>
      <c r="FD1320" s="420"/>
      <c r="FE1320" s="420"/>
      <c r="FF1320" s="420"/>
      <c r="FG1320" s="420"/>
      <c r="FH1320" s="420"/>
      <c r="FI1320" s="420"/>
      <c r="FJ1320" s="420"/>
      <c r="FK1320" s="420"/>
      <c r="FL1320" s="420"/>
      <c r="FM1320" s="420"/>
      <c r="FN1320" s="420"/>
      <c r="FO1320" s="420"/>
      <c r="FP1320" s="420"/>
      <c r="FQ1320" s="420"/>
      <c r="FR1320" s="420"/>
      <c r="FS1320" s="420"/>
      <c r="FT1320" s="420"/>
      <c r="FU1320" s="420"/>
      <c r="FV1320" s="420"/>
      <c r="FW1320" s="420"/>
      <c r="FX1320" s="420"/>
      <c r="FY1320" s="420"/>
    </row>
    <row r="1321" spans="1:181" s="421" customFormat="1" ht="12.75">
      <c r="A1321" s="918"/>
      <c r="B1321" s="927"/>
      <c r="C1321" s="920"/>
      <c r="D1321" s="921"/>
      <c r="E1321" s="922"/>
      <c r="F1321" s="923"/>
      <c r="G1321" s="420"/>
      <c r="H1321" s="420"/>
      <c r="I1321" s="420"/>
      <c r="J1321" s="420"/>
      <c r="K1321" s="420"/>
      <c r="L1321" s="420"/>
      <c r="M1321" s="420"/>
      <c r="N1321" s="646"/>
      <c r="O1321" s="646"/>
      <c r="P1321" s="420"/>
      <c r="Q1321" s="420"/>
      <c r="R1321" s="420"/>
      <c r="S1321" s="420"/>
      <c r="T1321" s="420"/>
      <c r="U1321" s="420"/>
      <c r="V1321" s="420"/>
      <c r="W1321" s="420"/>
      <c r="X1321" s="420"/>
      <c r="Y1321" s="420"/>
      <c r="Z1321" s="420"/>
      <c r="AA1321" s="420"/>
      <c r="AB1321" s="420"/>
      <c r="AC1321" s="420"/>
      <c r="AD1321" s="420"/>
      <c r="AE1321" s="420"/>
      <c r="AF1321" s="420"/>
      <c r="AG1321" s="420"/>
      <c r="AH1321" s="420"/>
      <c r="AI1321" s="420"/>
      <c r="AJ1321" s="420"/>
      <c r="AK1321" s="420"/>
      <c r="AL1321" s="420"/>
      <c r="AM1321" s="420"/>
      <c r="AN1321" s="420"/>
      <c r="AO1321" s="420"/>
      <c r="AP1321" s="420"/>
      <c r="AQ1321" s="420"/>
      <c r="AR1321" s="420"/>
      <c r="AS1321" s="420"/>
      <c r="AT1321" s="420"/>
      <c r="AU1321" s="420"/>
      <c r="AV1321" s="420"/>
      <c r="AW1321" s="420"/>
      <c r="AX1321" s="420"/>
      <c r="AY1321" s="420"/>
      <c r="AZ1321" s="420"/>
      <c r="BA1321" s="420"/>
      <c r="BB1321" s="420"/>
      <c r="BC1321" s="420"/>
      <c r="BD1321" s="420"/>
      <c r="BE1321" s="420"/>
      <c r="BF1321" s="420"/>
      <c r="BG1321" s="420"/>
      <c r="BH1321" s="420"/>
      <c r="BI1321" s="420"/>
      <c r="BJ1321" s="420"/>
      <c r="BK1321" s="420"/>
      <c r="BL1321" s="420"/>
      <c r="BM1321" s="420"/>
      <c r="BN1321" s="420"/>
      <c r="BO1321" s="420"/>
      <c r="BP1321" s="420"/>
      <c r="BQ1321" s="420"/>
      <c r="BR1321" s="420"/>
      <c r="BS1321" s="420"/>
      <c r="BT1321" s="420"/>
      <c r="BU1321" s="420"/>
      <c r="BV1321" s="420"/>
      <c r="BW1321" s="420"/>
      <c r="BX1321" s="420"/>
      <c r="BY1321" s="420"/>
      <c r="BZ1321" s="420"/>
      <c r="CA1321" s="420"/>
      <c r="CB1321" s="420"/>
      <c r="CC1321" s="420"/>
      <c r="CD1321" s="420"/>
      <c r="CE1321" s="420"/>
      <c r="CF1321" s="420"/>
      <c r="CG1321" s="420"/>
      <c r="CH1321" s="420"/>
      <c r="CI1321" s="420"/>
      <c r="CJ1321" s="420"/>
      <c r="CK1321" s="420"/>
      <c r="CL1321" s="420"/>
      <c r="CM1321" s="420"/>
      <c r="CN1321" s="420"/>
      <c r="CO1321" s="420"/>
      <c r="CP1321" s="420"/>
      <c r="CQ1321" s="420"/>
      <c r="CR1321" s="420"/>
      <c r="CS1321" s="420"/>
      <c r="CT1321" s="420"/>
      <c r="CU1321" s="420"/>
      <c r="CV1321" s="420"/>
      <c r="CW1321" s="420"/>
      <c r="CX1321" s="420"/>
      <c r="CY1321" s="420"/>
      <c r="CZ1321" s="420"/>
      <c r="DA1321" s="420"/>
      <c r="DB1321" s="420"/>
      <c r="DC1321" s="420"/>
      <c r="DD1321" s="420"/>
      <c r="DE1321" s="420"/>
      <c r="DF1321" s="420"/>
      <c r="DG1321" s="420"/>
      <c r="DH1321" s="420"/>
      <c r="DI1321" s="420"/>
      <c r="DJ1321" s="420"/>
      <c r="DK1321" s="420"/>
      <c r="DL1321" s="420"/>
      <c r="DM1321" s="420"/>
      <c r="DN1321" s="420"/>
      <c r="DO1321" s="420"/>
      <c r="DP1321" s="420"/>
      <c r="DQ1321" s="420"/>
      <c r="DR1321" s="420"/>
      <c r="DS1321" s="420"/>
      <c r="DT1321" s="420"/>
      <c r="DU1321" s="420"/>
      <c r="DV1321" s="420"/>
      <c r="DW1321" s="420"/>
      <c r="DX1321" s="420"/>
      <c r="DY1321" s="420"/>
      <c r="DZ1321" s="420"/>
      <c r="EA1321" s="420"/>
      <c r="EB1321" s="420"/>
      <c r="EC1321" s="420"/>
      <c r="ED1321" s="420"/>
      <c r="EE1321" s="420"/>
      <c r="EF1321" s="420"/>
      <c r="EG1321" s="420"/>
      <c r="EH1321" s="420"/>
      <c r="EI1321" s="420"/>
      <c r="EJ1321" s="420"/>
      <c r="EK1321" s="420"/>
      <c r="EL1321" s="420"/>
      <c r="EM1321" s="420"/>
      <c r="EN1321" s="420"/>
      <c r="EO1321" s="420"/>
      <c r="EP1321" s="420"/>
      <c r="EQ1321" s="420"/>
      <c r="ER1321" s="420"/>
      <c r="ES1321" s="420"/>
      <c r="ET1321" s="420"/>
      <c r="EU1321" s="420"/>
      <c r="EV1321" s="420"/>
      <c r="EW1321" s="420"/>
      <c r="EX1321" s="420"/>
      <c r="EY1321" s="420"/>
      <c r="EZ1321" s="420"/>
      <c r="FA1321" s="420"/>
      <c r="FB1321" s="420"/>
      <c r="FC1321" s="420"/>
      <c r="FD1321" s="420"/>
      <c r="FE1321" s="420"/>
      <c r="FF1321" s="420"/>
      <c r="FG1321" s="420"/>
      <c r="FH1321" s="420"/>
      <c r="FI1321" s="420"/>
      <c r="FJ1321" s="420"/>
      <c r="FK1321" s="420"/>
      <c r="FL1321" s="420"/>
      <c r="FM1321" s="420"/>
      <c r="FN1321" s="420"/>
      <c r="FO1321" s="420"/>
      <c r="FP1321" s="420"/>
      <c r="FQ1321" s="420"/>
      <c r="FR1321" s="420"/>
      <c r="FS1321" s="420"/>
      <c r="FT1321" s="420"/>
      <c r="FU1321" s="420"/>
      <c r="FV1321" s="420"/>
      <c r="FW1321" s="420"/>
      <c r="FX1321" s="420"/>
      <c r="FY1321" s="420"/>
    </row>
    <row r="1322" spans="1:181" s="421" customFormat="1" ht="12.75">
      <c r="A1322" s="959" t="s">
        <v>734</v>
      </c>
      <c r="B1322" s="960" t="s">
        <v>53</v>
      </c>
      <c r="C1322" s="961"/>
      <c r="D1322" s="962"/>
      <c r="E1322" s="962"/>
      <c r="F1322" s="962">
        <f>SUM(F1299:F1320)</f>
        <v>0</v>
      </c>
      <c r="G1322" s="963"/>
      <c r="H1322" s="963"/>
      <c r="I1322" s="963"/>
      <c r="J1322" s="963"/>
      <c r="K1322" s="963"/>
      <c r="L1322" s="963"/>
      <c r="M1322" s="963"/>
      <c r="N1322" s="906"/>
      <c r="O1322" s="962">
        <f>SUM(O1299:O1320)</f>
        <v>0</v>
      </c>
      <c r="P1322" s="420"/>
      <c r="Q1322" s="420"/>
      <c r="R1322" s="420"/>
      <c r="S1322" s="420"/>
      <c r="T1322" s="420"/>
      <c r="U1322" s="420"/>
      <c r="V1322" s="420"/>
      <c r="W1322" s="420"/>
      <c r="X1322" s="420"/>
      <c r="Y1322" s="420"/>
      <c r="Z1322" s="420"/>
      <c r="AA1322" s="420"/>
      <c r="AB1322" s="420"/>
      <c r="AC1322" s="420"/>
      <c r="AD1322" s="420"/>
      <c r="AE1322" s="420"/>
      <c r="AF1322" s="420"/>
      <c r="AG1322" s="420"/>
      <c r="AH1322" s="420"/>
      <c r="AI1322" s="420"/>
      <c r="AJ1322" s="420"/>
      <c r="AK1322" s="420"/>
      <c r="AL1322" s="420"/>
      <c r="AM1322" s="420"/>
      <c r="AN1322" s="420"/>
      <c r="AO1322" s="420"/>
      <c r="AP1322" s="420"/>
      <c r="AQ1322" s="420"/>
      <c r="AR1322" s="420"/>
      <c r="AS1322" s="420"/>
      <c r="AT1322" s="420"/>
      <c r="AU1322" s="420"/>
      <c r="AV1322" s="420"/>
      <c r="AW1322" s="420"/>
      <c r="AX1322" s="420"/>
      <c r="AY1322" s="420"/>
      <c r="AZ1322" s="420"/>
      <c r="BA1322" s="420"/>
      <c r="BB1322" s="420"/>
      <c r="BC1322" s="420"/>
      <c r="BD1322" s="420"/>
      <c r="BE1322" s="420"/>
      <c r="BF1322" s="420"/>
      <c r="BG1322" s="420"/>
      <c r="BH1322" s="420"/>
      <c r="BI1322" s="420"/>
      <c r="BJ1322" s="420"/>
      <c r="BK1322" s="420"/>
      <c r="BL1322" s="420"/>
      <c r="BM1322" s="420"/>
      <c r="BN1322" s="420"/>
      <c r="BO1322" s="420"/>
      <c r="BP1322" s="420"/>
      <c r="BQ1322" s="420"/>
      <c r="BR1322" s="420"/>
      <c r="BS1322" s="420"/>
      <c r="BT1322" s="420"/>
      <c r="BU1322" s="420"/>
      <c r="BV1322" s="420"/>
      <c r="BW1322" s="420"/>
      <c r="BX1322" s="420"/>
      <c r="BY1322" s="420"/>
      <c r="BZ1322" s="420"/>
      <c r="CA1322" s="420"/>
      <c r="CB1322" s="420"/>
      <c r="CC1322" s="420"/>
      <c r="CD1322" s="420"/>
      <c r="CE1322" s="420"/>
      <c r="CF1322" s="420"/>
      <c r="CG1322" s="420"/>
      <c r="CH1322" s="420"/>
      <c r="CI1322" s="420"/>
      <c r="CJ1322" s="420"/>
      <c r="CK1322" s="420"/>
      <c r="CL1322" s="420"/>
      <c r="CM1322" s="420"/>
      <c r="CN1322" s="420"/>
      <c r="CO1322" s="420"/>
      <c r="CP1322" s="420"/>
      <c r="CQ1322" s="420"/>
      <c r="CR1322" s="420"/>
      <c r="CS1322" s="420"/>
      <c r="CT1322" s="420"/>
      <c r="CU1322" s="420"/>
      <c r="CV1322" s="420"/>
      <c r="CW1322" s="420"/>
      <c r="CX1322" s="420"/>
      <c r="CY1322" s="420"/>
      <c r="CZ1322" s="420"/>
      <c r="DA1322" s="420"/>
      <c r="DB1322" s="420"/>
      <c r="DC1322" s="420"/>
      <c r="DD1322" s="420"/>
      <c r="DE1322" s="420"/>
      <c r="DF1322" s="420"/>
      <c r="DG1322" s="420"/>
      <c r="DH1322" s="420"/>
      <c r="DI1322" s="420"/>
      <c r="DJ1322" s="420"/>
      <c r="DK1322" s="420"/>
      <c r="DL1322" s="420"/>
      <c r="DM1322" s="420"/>
      <c r="DN1322" s="420"/>
      <c r="DO1322" s="420"/>
      <c r="DP1322" s="420"/>
      <c r="DQ1322" s="420"/>
      <c r="DR1322" s="420"/>
      <c r="DS1322" s="420"/>
      <c r="DT1322" s="420"/>
      <c r="DU1322" s="420"/>
      <c r="DV1322" s="420"/>
      <c r="DW1322" s="420"/>
      <c r="DX1322" s="420"/>
      <c r="DY1322" s="420"/>
      <c r="DZ1322" s="420"/>
      <c r="EA1322" s="420"/>
      <c r="EB1322" s="420"/>
      <c r="EC1322" s="420"/>
      <c r="ED1322" s="420"/>
      <c r="EE1322" s="420"/>
      <c r="EF1322" s="420"/>
      <c r="EG1322" s="420"/>
      <c r="EH1322" s="420"/>
      <c r="EI1322" s="420"/>
      <c r="EJ1322" s="420"/>
      <c r="EK1322" s="420"/>
      <c r="EL1322" s="420"/>
      <c r="EM1322" s="420"/>
      <c r="EN1322" s="420"/>
      <c r="EO1322" s="420"/>
      <c r="EP1322" s="420"/>
      <c r="EQ1322" s="420"/>
      <c r="ER1322" s="420"/>
      <c r="ES1322" s="420"/>
      <c r="ET1322" s="420"/>
      <c r="EU1322" s="420"/>
      <c r="EV1322" s="420"/>
      <c r="EW1322" s="420"/>
      <c r="EX1322" s="420"/>
      <c r="EY1322" s="420"/>
      <c r="EZ1322" s="420"/>
      <c r="FA1322" s="420"/>
      <c r="FB1322" s="420"/>
      <c r="FC1322" s="420"/>
      <c r="FD1322" s="420"/>
      <c r="FE1322" s="420"/>
      <c r="FF1322" s="420"/>
      <c r="FG1322" s="420"/>
      <c r="FH1322" s="420"/>
      <c r="FI1322" s="420"/>
      <c r="FJ1322" s="420"/>
      <c r="FK1322" s="420"/>
      <c r="FL1322" s="420"/>
      <c r="FM1322" s="420"/>
      <c r="FN1322" s="420"/>
      <c r="FO1322" s="420"/>
      <c r="FP1322" s="420"/>
      <c r="FQ1322" s="420"/>
      <c r="FR1322" s="420"/>
      <c r="FS1322" s="420"/>
      <c r="FT1322" s="420"/>
      <c r="FU1322" s="420"/>
      <c r="FV1322" s="420"/>
      <c r="FW1322" s="420"/>
      <c r="FX1322" s="420"/>
      <c r="FY1322" s="420"/>
    </row>
    <row r="1323" spans="1:181" s="421" customFormat="1" ht="12.75">
      <c r="A1323" s="928"/>
      <c r="B1323" s="929"/>
      <c r="C1323" s="930"/>
      <c r="D1323" s="931"/>
      <c r="E1323" s="931"/>
      <c r="F1323" s="931"/>
      <c r="G1323" s="420"/>
      <c r="H1323" s="420"/>
      <c r="I1323" s="420"/>
      <c r="J1323" s="420"/>
      <c r="K1323" s="420"/>
      <c r="L1323" s="420"/>
      <c r="M1323" s="420"/>
      <c r="N1323" s="646"/>
      <c r="O1323" s="646"/>
      <c r="P1323" s="420"/>
      <c r="Q1323" s="420"/>
      <c r="R1323" s="420"/>
      <c r="S1323" s="420"/>
      <c r="T1323" s="420"/>
      <c r="U1323" s="420"/>
      <c r="V1323" s="420"/>
      <c r="W1323" s="420"/>
      <c r="X1323" s="420"/>
      <c r="Y1323" s="420"/>
      <c r="Z1323" s="420"/>
      <c r="AA1323" s="420"/>
      <c r="AB1323" s="420"/>
      <c r="AC1323" s="420"/>
      <c r="AD1323" s="420"/>
      <c r="AE1323" s="420"/>
      <c r="AF1323" s="420"/>
      <c r="AG1323" s="420"/>
      <c r="AH1323" s="420"/>
      <c r="AI1323" s="420"/>
      <c r="AJ1323" s="420"/>
      <c r="AK1323" s="420"/>
      <c r="AL1323" s="420"/>
      <c r="AM1323" s="420"/>
      <c r="AN1323" s="420"/>
      <c r="AO1323" s="420"/>
      <c r="AP1323" s="420"/>
      <c r="AQ1323" s="420"/>
      <c r="AR1323" s="420"/>
      <c r="AS1323" s="420"/>
      <c r="AT1323" s="420"/>
      <c r="AU1323" s="420"/>
      <c r="AV1323" s="420"/>
      <c r="AW1323" s="420"/>
      <c r="AX1323" s="420"/>
      <c r="AY1323" s="420"/>
      <c r="AZ1323" s="420"/>
      <c r="BA1323" s="420"/>
      <c r="BB1323" s="420"/>
      <c r="BC1323" s="420"/>
      <c r="BD1323" s="420"/>
      <c r="BE1323" s="420"/>
      <c r="BF1323" s="420"/>
      <c r="BG1323" s="420"/>
      <c r="BH1323" s="420"/>
      <c r="BI1323" s="420"/>
      <c r="BJ1323" s="420"/>
      <c r="BK1323" s="420"/>
      <c r="BL1323" s="420"/>
      <c r="BM1323" s="420"/>
      <c r="BN1323" s="420"/>
      <c r="BO1323" s="420"/>
      <c r="BP1323" s="420"/>
      <c r="BQ1323" s="420"/>
      <c r="BR1323" s="420"/>
      <c r="BS1323" s="420"/>
      <c r="BT1323" s="420"/>
      <c r="BU1323" s="420"/>
      <c r="BV1323" s="420"/>
      <c r="BW1323" s="420"/>
      <c r="BX1323" s="420"/>
      <c r="BY1323" s="420"/>
      <c r="BZ1323" s="420"/>
      <c r="CA1323" s="420"/>
      <c r="CB1323" s="420"/>
      <c r="CC1323" s="420"/>
      <c r="CD1323" s="420"/>
      <c r="CE1323" s="420"/>
      <c r="CF1323" s="420"/>
      <c r="CG1323" s="420"/>
      <c r="CH1323" s="420"/>
      <c r="CI1323" s="420"/>
      <c r="CJ1323" s="420"/>
      <c r="CK1323" s="420"/>
      <c r="CL1323" s="420"/>
      <c r="CM1323" s="420"/>
      <c r="CN1323" s="420"/>
      <c r="CO1323" s="420"/>
      <c r="CP1323" s="420"/>
      <c r="CQ1323" s="420"/>
      <c r="CR1323" s="420"/>
      <c r="CS1323" s="420"/>
      <c r="CT1323" s="420"/>
      <c r="CU1323" s="420"/>
      <c r="CV1323" s="420"/>
      <c r="CW1323" s="420"/>
      <c r="CX1323" s="420"/>
      <c r="CY1323" s="420"/>
      <c r="CZ1323" s="420"/>
      <c r="DA1323" s="420"/>
      <c r="DB1323" s="420"/>
      <c r="DC1323" s="420"/>
      <c r="DD1323" s="420"/>
      <c r="DE1323" s="420"/>
      <c r="DF1323" s="420"/>
      <c r="DG1323" s="420"/>
      <c r="DH1323" s="420"/>
      <c r="DI1323" s="420"/>
      <c r="DJ1323" s="420"/>
      <c r="DK1323" s="420"/>
      <c r="DL1323" s="420"/>
      <c r="DM1323" s="420"/>
      <c r="DN1323" s="420"/>
      <c r="DO1323" s="420"/>
      <c r="DP1323" s="420"/>
      <c r="DQ1323" s="420"/>
      <c r="DR1323" s="420"/>
      <c r="DS1323" s="420"/>
      <c r="DT1323" s="420"/>
      <c r="DU1323" s="420"/>
      <c r="DV1323" s="420"/>
      <c r="DW1323" s="420"/>
      <c r="DX1323" s="420"/>
      <c r="DY1323" s="420"/>
      <c r="DZ1323" s="420"/>
      <c r="EA1323" s="420"/>
      <c r="EB1323" s="420"/>
      <c r="EC1323" s="420"/>
      <c r="ED1323" s="420"/>
      <c r="EE1323" s="420"/>
      <c r="EF1323" s="420"/>
      <c r="EG1323" s="420"/>
      <c r="EH1323" s="420"/>
      <c r="EI1323" s="420"/>
      <c r="EJ1323" s="420"/>
      <c r="EK1323" s="420"/>
      <c r="EL1323" s="420"/>
      <c r="EM1323" s="420"/>
      <c r="EN1323" s="420"/>
      <c r="EO1323" s="420"/>
      <c r="EP1323" s="420"/>
      <c r="EQ1323" s="420"/>
      <c r="ER1323" s="420"/>
      <c r="ES1323" s="420"/>
      <c r="ET1323" s="420"/>
      <c r="EU1323" s="420"/>
      <c r="EV1323" s="420"/>
      <c r="EW1323" s="420"/>
      <c r="EX1323" s="420"/>
      <c r="EY1323" s="420"/>
      <c r="EZ1323" s="420"/>
      <c r="FA1323" s="420"/>
      <c r="FB1323" s="420"/>
      <c r="FC1323" s="420"/>
      <c r="FD1323" s="420"/>
      <c r="FE1323" s="420"/>
      <c r="FF1323" s="420"/>
      <c r="FG1323" s="420"/>
      <c r="FH1323" s="420"/>
      <c r="FI1323" s="420"/>
      <c r="FJ1323" s="420"/>
      <c r="FK1323" s="420"/>
      <c r="FL1323" s="420"/>
      <c r="FM1323" s="420"/>
      <c r="FN1323" s="420"/>
      <c r="FO1323" s="420"/>
      <c r="FP1323" s="420"/>
      <c r="FQ1323" s="420"/>
      <c r="FR1323" s="420"/>
      <c r="FS1323" s="420"/>
      <c r="FT1323" s="420"/>
      <c r="FU1323" s="420"/>
      <c r="FV1323" s="420"/>
      <c r="FW1323" s="420"/>
      <c r="FX1323" s="420"/>
      <c r="FY1323" s="420"/>
    </row>
    <row r="1324" spans="1:256" s="431" customFormat="1" ht="15.75" customHeight="1">
      <c r="A1324" s="974" t="s">
        <v>735</v>
      </c>
      <c r="B1324" s="933" t="s">
        <v>1260</v>
      </c>
      <c r="C1324" s="1199"/>
      <c r="D1324" s="1199"/>
      <c r="E1324" s="1199"/>
      <c r="F1324" s="1199"/>
      <c r="N1324" s="641"/>
      <c r="O1324" s="641"/>
      <c r="FZ1324" s="432"/>
      <c r="GA1324" s="432"/>
      <c r="GB1324" s="432"/>
      <c r="GC1324" s="432"/>
      <c r="GD1324" s="432"/>
      <c r="GE1324" s="432"/>
      <c r="GF1324" s="432"/>
      <c r="GG1324" s="432"/>
      <c r="GH1324" s="432"/>
      <c r="GI1324" s="432"/>
      <c r="GJ1324" s="432"/>
      <c r="GK1324" s="432"/>
      <c r="GL1324" s="432"/>
      <c r="GM1324" s="432"/>
      <c r="GN1324" s="432"/>
      <c r="GO1324" s="432"/>
      <c r="GP1324" s="432"/>
      <c r="GQ1324" s="432"/>
      <c r="GR1324" s="432"/>
      <c r="GS1324" s="432"/>
      <c r="GT1324" s="432"/>
      <c r="GU1324" s="432"/>
      <c r="GV1324" s="432"/>
      <c r="GW1324" s="432"/>
      <c r="GX1324" s="432"/>
      <c r="GY1324" s="432"/>
      <c r="GZ1324" s="432"/>
      <c r="HA1324" s="432"/>
      <c r="HB1324" s="432"/>
      <c r="HC1324" s="432"/>
      <c r="HD1324" s="432"/>
      <c r="HE1324" s="432"/>
      <c r="HF1324" s="432"/>
      <c r="HG1324" s="432"/>
      <c r="HH1324" s="432"/>
      <c r="HI1324" s="432"/>
      <c r="HJ1324" s="432"/>
      <c r="HK1324" s="432"/>
      <c r="HL1324" s="432"/>
      <c r="HM1324" s="432"/>
      <c r="HN1324" s="432"/>
      <c r="HO1324" s="432"/>
      <c r="HP1324" s="432"/>
      <c r="HQ1324" s="432"/>
      <c r="HR1324" s="432"/>
      <c r="HS1324" s="432"/>
      <c r="HT1324" s="432"/>
      <c r="HU1324" s="432"/>
      <c r="HV1324" s="432"/>
      <c r="HW1324" s="432"/>
      <c r="HX1324" s="432"/>
      <c r="HY1324" s="432"/>
      <c r="HZ1324" s="432"/>
      <c r="IA1324" s="432"/>
      <c r="IB1324" s="432"/>
      <c r="IC1324" s="432"/>
      <c r="ID1324" s="432"/>
      <c r="IE1324" s="432"/>
      <c r="IF1324" s="432"/>
      <c r="IG1324" s="432"/>
      <c r="IH1324" s="432"/>
      <c r="II1324" s="432"/>
      <c r="IJ1324" s="432"/>
      <c r="IK1324" s="432"/>
      <c r="IL1324" s="432"/>
      <c r="IM1324" s="432"/>
      <c r="IN1324" s="432"/>
      <c r="IO1324" s="432"/>
      <c r="IP1324" s="432"/>
      <c r="IQ1324" s="432"/>
      <c r="IR1324" s="432"/>
      <c r="IS1324" s="432"/>
      <c r="IT1324" s="432"/>
      <c r="IU1324" s="432"/>
      <c r="IV1324" s="432"/>
    </row>
    <row r="1325" spans="1:256" s="431" customFormat="1" ht="30" customHeight="1">
      <c r="A1325" s="630" t="s">
        <v>38</v>
      </c>
      <c r="B1325" s="967" t="s">
        <v>39</v>
      </c>
      <c r="C1325" s="968" t="s">
        <v>40</v>
      </c>
      <c r="D1325" s="968" t="s">
        <v>41</v>
      </c>
      <c r="E1325" s="969" t="s">
        <v>1261</v>
      </c>
      <c r="F1325" s="969" t="s">
        <v>1262</v>
      </c>
      <c r="G1325" s="600"/>
      <c r="H1325" s="601"/>
      <c r="I1325" s="601"/>
      <c r="J1325" s="146"/>
      <c r="K1325" s="146"/>
      <c r="L1325" s="601"/>
      <c r="M1325" s="146"/>
      <c r="N1325" s="631" t="s">
        <v>1264</v>
      </c>
      <c r="O1325" s="631" t="s">
        <v>1263</v>
      </c>
      <c r="FZ1325" s="432"/>
      <c r="GA1325" s="432"/>
      <c r="GB1325" s="432"/>
      <c r="GC1325" s="432"/>
      <c r="GD1325" s="432"/>
      <c r="GE1325" s="432"/>
      <c r="GF1325" s="432"/>
      <c r="GG1325" s="432"/>
      <c r="GH1325" s="432"/>
      <c r="GI1325" s="432"/>
      <c r="GJ1325" s="432"/>
      <c r="GK1325" s="432"/>
      <c r="GL1325" s="432"/>
      <c r="GM1325" s="432"/>
      <c r="GN1325" s="432"/>
      <c r="GO1325" s="432"/>
      <c r="GP1325" s="432"/>
      <c r="GQ1325" s="432"/>
      <c r="GR1325" s="432"/>
      <c r="GS1325" s="432"/>
      <c r="GT1325" s="432"/>
      <c r="GU1325" s="432"/>
      <c r="GV1325" s="432"/>
      <c r="GW1325" s="432"/>
      <c r="GX1325" s="432"/>
      <c r="GY1325" s="432"/>
      <c r="GZ1325" s="432"/>
      <c r="HA1325" s="432"/>
      <c r="HB1325" s="432"/>
      <c r="HC1325" s="432"/>
      <c r="HD1325" s="432"/>
      <c r="HE1325" s="432"/>
      <c r="HF1325" s="432"/>
      <c r="HG1325" s="432"/>
      <c r="HH1325" s="432"/>
      <c r="HI1325" s="432"/>
      <c r="HJ1325" s="432"/>
      <c r="HK1325" s="432"/>
      <c r="HL1325" s="432"/>
      <c r="HM1325" s="432"/>
      <c r="HN1325" s="432"/>
      <c r="HO1325" s="432"/>
      <c r="HP1325" s="432"/>
      <c r="HQ1325" s="432"/>
      <c r="HR1325" s="432"/>
      <c r="HS1325" s="432"/>
      <c r="HT1325" s="432"/>
      <c r="HU1325" s="432"/>
      <c r="HV1325" s="432"/>
      <c r="HW1325" s="432"/>
      <c r="HX1325" s="432"/>
      <c r="HY1325" s="432"/>
      <c r="HZ1325" s="432"/>
      <c r="IA1325" s="432"/>
      <c r="IB1325" s="432"/>
      <c r="IC1325" s="432"/>
      <c r="ID1325" s="432"/>
      <c r="IE1325" s="432"/>
      <c r="IF1325" s="432"/>
      <c r="IG1325" s="432"/>
      <c r="IH1325" s="432"/>
      <c r="II1325" s="432"/>
      <c r="IJ1325" s="432"/>
      <c r="IK1325" s="432"/>
      <c r="IL1325" s="432"/>
      <c r="IM1325" s="432"/>
      <c r="IN1325" s="432"/>
      <c r="IO1325" s="432"/>
      <c r="IP1325" s="432"/>
      <c r="IQ1325" s="432"/>
      <c r="IR1325" s="432"/>
      <c r="IS1325" s="432"/>
      <c r="IT1325" s="432"/>
      <c r="IU1325" s="432"/>
      <c r="IV1325" s="432"/>
    </row>
    <row r="1326" spans="1:256" s="431" customFormat="1" ht="15.75" customHeight="1">
      <c r="A1326" s="976"/>
      <c r="B1326" s="934"/>
      <c r="C1326" s="934"/>
      <c r="D1326" s="935"/>
      <c r="E1326" s="934"/>
      <c r="F1326" s="934"/>
      <c r="N1326" s="641"/>
      <c r="O1326" s="641"/>
      <c r="FZ1326" s="432"/>
      <c r="GA1326" s="432"/>
      <c r="GB1326" s="432"/>
      <c r="GC1326" s="432"/>
      <c r="GD1326" s="432"/>
      <c r="GE1326" s="432"/>
      <c r="GF1326" s="432"/>
      <c r="GG1326" s="432"/>
      <c r="GH1326" s="432"/>
      <c r="GI1326" s="432"/>
      <c r="GJ1326" s="432"/>
      <c r="GK1326" s="432"/>
      <c r="GL1326" s="432"/>
      <c r="GM1326" s="432"/>
      <c r="GN1326" s="432"/>
      <c r="GO1326" s="432"/>
      <c r="GP1326" s="432"/>
      <c r="GQ1326" s="432"/>
      <c r="GR1326" s="432"/>
      <c r="GS1326" s="432"/>
      <c r="GT1326" s="432"/>
      <c r="GU1326" s="432"/>
      <c r="GV1326" s="432"/>
      <c r="GW1326" s="432"/>
      <c r="GX1326" s="432"/>
      <c r="GY1326" s="432"/>
      <c r="GZ1326" s="432"/>
      <c r="HA1326" s="432"/>
      <c r="HB1326" s="432"/>
      <c r="HC1326" s="432"/>
      <c r="HD1326" s="432"/>
      <c r="HE1326" s="432"/>
      <c r="HF1326" s="432"/>
      <c r="HG1326" s="432"/>
      <c r="HH1326" s="432"/>
      <c r="HI1326" s="432"/>
      <c r="HJ1326" s="432"/>
      <c r="HK1326" s="432"/>
      <c r="HL1326" s="432"/>
      <c r="HM1326" s="432"/>
      <c r="HN1326" s="432"/>
      <c r="HO1326" s="432"/>
      <c r="HP1326" s="432"/>
      <c r="HQ1326" s="432"/>
      <c r="HR1326" s="432"/>
      <c r="HS1326" s="432"/>
      <c r="HT1326" s="432"/>
      <c r="HU1326" s="432"/>
      <c r="HV1326" s="432"/>
      <c r="HW1326" s="432"/>
      <c r="HX1326" s="432"/>
      <c r="HY1326" s="432"/>
      <c r="HZ1326" s="432"/>
      <c r="IA1326" s="432"/>
      <c r="IB1326" s="432"/>
      <c r="IC1326" s="432"/>
      <c r="ID1326" s="432"/>
      <c r="IE1326" s="432"/>
      <c r="IF1326" s="432"/>
      <c r="IG1326" s="432"/>
      <c r="IH1326" s="432"/>
      <c r="II1326" s="432"/>
      <c r="IJ1326" s="432"/>
      <c r="IK1326" s="432"/>
      <c r="IL1326" s="432"/>
      <c r="IM1326" s="432"/>
      <c r="IN1326" s="432"/>
      <c r="IO1326" s="432"/>
      <c r="IP1326" s="432"/>
      <c r="IQ1326" s="432"/>
      <c r="IR1326" s="432"/>
      <c r="IS1326" s="432"/>
      <c r="IT1326" s="432"/>
      <c r="IU1326" s="432"/>
      <c r="IV1326" s="432"/>
    </row>
    <row r="1327" spans="1:181" s="421" customFormat="1" ht="68.25" customHeight="1">
      <c r="A1327" s="918"/>
      <c r="B1327" s="1201" t="s">
        <v>903</v>
      </c>
      <c r="C1327" s="1202"/>
      <c r="D1327" s="1202"/>
      <c r="E1327" s="1203"/>
      <c r="F1327" s="1108"/>
      <c r="G1327" s="420"/>
      <c r="H1327" s="420"/>
      <c r="I1327" s="420"/>
      <c r="J1327" s="420"/>
      <c r="K1327" s="420"/>
      <c r="L1327" s="420"/>
      <c r="M1327" s="420"/>
      <c r="N1327" s="646"/>
      <c r="O1327" s="646"/>
      <c r="P1327" s="420"/>
      <c r="Q1327" s="420"/>
      <c r="R1327" s="420"/>
      <c r="S1327" s="420"/>
      <c r="T1327" s="420"/>
      <c r="U1327" s="420"/>
      <c r="V1327" s="420"/>
      <c r="W1327" s="420"/>
      <c r="X1327" s="420"/>
      <c r="Y1327" s="420"/>
      <c r="Z1327" s="420"/>
      <c r="AA1327" s="420"/>
      <c r="AB1327" s="420"/>
      <c r="AC1327" s="420"/>
      <c r="AD1327" s="420"/>
      <c r="AE1327" s="420"/>
      <c r="AF1327" s="420"/>
      <c r="AG1327" s="420"/>
      <c r="AH1327" s="420"/>
      <c r="AI1327" s="420"/>
      <c r="AJ1327" s="420"/>
      <c r="AK1327" s="420"/>
      <c r="AL1327" s="420"/>
      <c r="AM1327" s="420"/>
      <c r="AN1327" s="420"/>
      <c r="AO1327" s="420"/>
      <c r="AP1327" s="420"/>
      <c r="AQ1327" s="420"/>
      <c r="AR1327" s="420"/>
      <c r="AS1327" s="420"/>
      <c r="AT1327" s="420"/>
      <c r="AU1327" s="420"/>
      <c r="AV1327" s="420"/>
      <c r="AW1327" s="420"/>
      <c r="AX1327" s="420"/>
      <c r="AY1327" s="420"/>
      <c r="AZ1327" s="420"/>
      <c r="BA1327" s="420"/>
      <c r="BB1327" s="420"/>
      <c r="BC1327" s="420"/>
      <c r="BD1327" s="420"/>
      <c r="BE1327" s="420"/>
      <c r="BF1327" s="420"/>
      <c r="BG1327" s="420"/>
      <c r="BH1327" s="420"/>
      <c r="BI1327" s="420"/>
      <c r="BJ1327" s="420"/>
      <c r="BK1327" s="420"/>
      <c r="BL1327" s="420"/>
      <c r="BM1327" s="420"/>
      <c r="BN1327" s="420"/>
      <c r="BO1327" s="420"/>
      <c r="BP1327" s="420"/>
      <c r="BQ1327" s="420"/>
      <c r="BR1327" s="420"/>
      <c r="BS1327" s="420"/>
      <c r="BT1327" s="420"/>
      <c r="BU1327" s="420"/>
      <c r="BV1327" s="420"/>
      <c r="BW1327" s="420"/>
      <c r="BX1327" s="420"/>
      <c r="BY1327" s="420"/>
      <c r="BZ1327" s="420"/>
      <c r="CA1327" s="420"/>
      <c r="CB1327" s="420"/>
      <c r="CC1327" s="420"/>
      <c r="CD1327" s="420"/>
      <c r="CE1327" s="420"/>
      <c r="CF1327" s="420"/>
      <c r="CG1327" s="420"/>
      <c r="CH1327" s="420"/>
      <c r="CI1327" s="420"/>
      <c r="CJ1327" s="420"/>
      <c r="CK1327" s="420"/>
      <c r="CL1327" s="420"/>
      <c r="CM1327" s="420"/>
      <c r="CN1327" s="420"/>
      <c r="CO1327" s="420"/>
      <c r="CP1327" s="420"/>
      <c r="CQ1327" s="420"/>
      <c r="CR1327" s="420"/>
      <c r="CS1327" s="420"/>
      <c r="CT1327" s="420"/>
      <c r="CU1327" s="420"/>
      <c r="CV1327" s="420"/>
      <c r="CW1327" s="420"/>
      <c r="CX1327" s="420"/>
      <c r="CY1327" s="420"/>
      <c r="CZ1327" s="420"/>
      <c r="DA1327" s="420"/>
      <c r="DB1327" s="420"/>
      <c r="DC1327" s="420"/>
      <c r="DD1327" s="420"/>
      <c r="DE1327" s="420"/>
      <c r="DF1327" s="420"/>
      <c r="DG1327" s="420"/>
      <c r="DH1327" s="420"/>
      <c r="DI1327" s="420"/>
      <c r="DJ1327" s="420"/>
      <c r="DK1327" s="420"/>
      <c r="DL1327" s="420"/>
      <c r="DM1327" s="420"/>
      <c r="DN1327" s="420"/>
      <c r="DO1327" s="420"/>
      <c r="DP1327" s="420"/>
      <c r="DQ1327" s="420"/>
      <c r="DR1327" s="420"/>
      <c r="DS1327" s="420"/>
      <c r="DT1327" s="420"/>
      <c r="DU1327" s="420"/>
      <c r="DV1327" s="420"/>
      <c r="DW1327" s="420"/>
      <c r="DX1327" s="420"/>
      <c r="DY1327" s="420"/>
      <c r="DZ1327" s="420"/>
      <c r="EA1327" s="420"/>
      <c r="EB1327" s="420"/>
      <c r="EC1327" s="420"/>
      <c r="ED1327" s="420"/>
      <c r="EE1327" s="420"/>
      <c r="EF1327" s="420"/>
      <c r="EG1327" s="420"/>
      <c r="EH1327" s="420"/>
      <c r="EI1327" s="420"/>
      <c r="EJ1327" s="420"/>
      <c r="EK1327" s="420"/>
      <c r="EL1327" s="420"/>
      <c r="EM1327" s="420"/>
      <c r="EN1327" s="420"/>
      <c r="EO1327" s="420"/>
      <c r="EP1327" s="420"/>
      <c r="EQ1327" s="420"/>
      <c r="ER1327" s="420"/>
      <c r="ES1327" s="420"/>
      <c r="ET1327" s="420"/>
      <c r="EU1327" s="420"/>
      <c r="EV1327" s="420"/>
      <c r="EW1327" s="420"/>
      <c r="EX1327" s="420"/>
      <c r="EY1327" s="420"/>
      <c r="EZ1327" s="420"/>
      <c r="FA1327" s="420"/>
      <c r="FB1327" s="420"/>
      <c r="FC1327" s="420"/>
      <c r="FD1327" s="420"/>
      <c r="FE1327" s="420"/>
      <c r="FF1327" s="420"/>
      <c r="FG1327" s="420"/>
      <c r="FH1327" s="420"/>
      <c r="FI1327" s="420"/>
      <c r="FJ1327" s="420"/>
      <c r="FK1327" s="420"/>
      <c r="FL1327" s="420"/>
      <c r="FM1327" s="420"/>
      <c r="FN1327" s="420"/>
      <c r="FO1327" s="420"/>
      <c r="FP1327" s="420"/>
      <c r="FQ1327" s="420"/>
      <c r="FR1327" s="420"/>
      <c r="FS1327" s="420"/>
      <c r="FT1327" s="420"/>
      <c r="FU1327" s="420"/>
      <c r="FV1327" s="420"/>
      <c r="FW1327" s="420"/>
      <c r="FX1327" s="420"/>
      <c r="FY1327" s="420"/>
    </row>
    <row r="1328" spans="1:181" s="421" customFormat="1" ht="20.25" customHeight="1">
      <c r="A1328" s="954"/>
      <c r="B1328" s="955" t="s">
        <v>948</v>
      </c>
      <c r="C1328" s="956"/>
      <c r="D1328" s="956"/>
      <c r="E1328" s="956"/>
      <c r="F1328" s="956"/>
      <c r="G1328" s="420"/>
      <c r="H1328" s="420"/>
      <c r="I1328" s="420"/>
      <c r="J1328" s="420"/>
      <c r="K1328" s="420"/>
      <c r="L1328" s="420"/>
      <c r="M1328" s="420"/>
      <c r="N1328" s="646"/>
      <c r="O1328" s="646"/>
      <c r="P1328" s="420"/>
      <c r="Q1328" s="420"/>
      <c r="R1328" s="420"/>
      <c r="S1328" s="420"/>
      <c r="T1328" s="420"/>
      <c r="U1328" s="420"/>
      <c r="V1328" s="420"/>
      <c r="W1328" s="420"/>
      <c r="X1328" s="420"/>
      <c r="Y1328" s="420"/>
      <c r="Z1328" s="420"/>
      <c r="AA1328" s="420"/>
      <c r="AB1328" s="420"/>
      <c r="AC1328" s="420"/>
      <c r="AD1328" s="420"/>
      <c r="AE1328" s="420"/>
      <c r="AF1328" s="420"/>
      <c r="AG1328" s="420"/>
      <c r="AH1328" s="420"/>
      <c r="AI1328" s="420"/>
      <c r="AJ1328" s="420"/>
      <c r="AK1328" s="420"/>
      <c r="AL1328" s="420"/>
      <c r="AM1328" s="420"/>
      <c r="AN1328" s="420"/>
      <c r="AO1328" s="420"/>
      <c r="AP1328" s="420"/>
      <c r="AQ1328" s="420"/>
      <c r="AR1328" s="420"/>
      <c r="AS1328" s="420"/>
      <c r="AT1328" s="420"/>
      <c r="AU1328" s="420"/>
      <c r="AV1328" s="420"/>
      <c r="AW1328" s="420"/>
      <c r="AX1328" s="420"/>
      <c r="AY1328" s="420"/>
      <c r="AZ1328" s="420"/>
      <c r="BA1328" s="420"/>
      <c r="BB1328" s="420"/>
      <c r="BC1328" s="420"/>
      <c r="BD1328" s="420"/>
      <c r="BE1328" s="420"/>
      <c r="BF1328" s="420"/>
      <c r="BG1328" s="420"/>
      <c r="BH1328" s="420"/>
      <c r="BI1328" s="420"/>
      <c r="BJ1328" s="420"/>
      <c r="BK1328" s="420"/>
      <c r="BL1328" s="420"/>
      <c r="BM1328" s="420"/>
      <c r="BN1328" s="420"/>
      <c r="BO1328" s="420"/>
      <c r="BP1328" s="420"/>
      <c r="BQ1328" s="420"/>
      <c r="BR1328" s="420"/>
      <c r="BS1328" s="420"/>
      <c r="BT1328" s="420"/>
      <c r="BU1328" s="420"/>
      <c r="BV1328" s="420"/>
      <c r="BW1328" s="420"/>
      <c r="BX1328" s="420"/>
      <c r="BY1328" s="420"/>
      <c r="BZ1328" s="420"/>
      <c r="CA1328" s="420"/>
      <c r="CB1328" s="420"/>
      <c r="CC1328" s="420"/>
      <c r="CD1328" s="420"/>
      <c r="CE1328" s="420"/>
      <c r="CF1328" s="420"/>
      <c r="CG1328" s="420"/>
      <c r="CH1328" s="420"/>
      <c r="CI1328" s="420"/>
      <c r="CJ1328" s="420"/>
      <c r="CK1328" s="420"/>
      <c r="CL1328" s="420"/>
      <c r="CM1328" s="420"/>
      <c r="CN1328" s="420"/>
      <c r="CO1328" s="420"/>
      <c r="CP1328" s="420"/>
      <c r="CQ1328" s="420"/>
      <c r="CR1328" s="420"/>
      <c r="CS1328" s="420"/>
      <c r="CT1328" s="420"/>
      <c r="CU1328" s="420"/>
      <c r="CV1328" s="420"/>
      <c r="CW1328" s="420"/>
      <c r="CX1328" s="420"/>
      <c r="CY1328" s="420"/>
      <c r="CZ1328" s="420"/>
      <c r="DA1328" s="420"/>
      <c r="DB1328" s="420"/>
      <c r="DC1328" s="420"/>
      <c r="DD1328" s="420"/>
      <c r="DE1328" s="420"/>
      <c r="DF1328" s="420"/>
      <c r="DG1328" s="420"/>
      <c r="DH1328" s="420"/>
      <c r="DI1328" s="420"/>
      <c r="DJ1328" s="420"/>
      <c r="DK1328" s="420"/>
      <c r="DL1328" s="420"/>
      <c r="DM1328" s="420"/>
      <c r="DN1328" s="420"/>
      <c r="DO1328" s="420"/>
      <c r="DP1328" s="420"/>
      <c r="DQ1328" s="420"/>
      <c r="DR1328" s="420"/>
      <c r="DS1328" s="420"/>
      <c r="DT1328" s="420"/>
      <c r="DU1328" s="420"/>
      <c r="DV1328" s="420"/>
      <c r="DW1328" s="420"/>
      <c r="DX1328" s="420"/>
      <c r="DY1328" s="420"/>
      <c r="DZ1328" s="420"/>
      <c r="EA1328" s="420"/>
      <c r="EB1328" s="420"/>
      <c r="EC1328" s="420"/>
      <c r="ED1328" s="420"/>
      <c r="EE1328" s="420"/>
      <c r="EF1328" s="420"/>
      <c r="EG1328" s="420"/>
      <c r="EH1328" s="420"/>
      <c r="EI1328" s="420"/>
      <c r="EJ1328" s="420"/>
      <c r="EK1328" s="420"/>
      <c r="EL1328" s="420"/>
      <c r="EM1328" s="420"/>
      <c r="EN1328" s="420"/>
      <c r="EO1328" s="420"/>
      <c r="EP1328" s="420"/>
      <c r="EQ1328" s="420"/>
      <c r="ER1328" s="420"/>
      <c r="ES1328" s="420"/>
      <c r="ET1328" s="420"/>
      <c r="EU1328" s="420"/>
      <c r="EV1328" s="420"/>
      <c r="EW1328" s="420"/>
      <c r="EX1328" s="420"/>
      <c r="EY1328" s="420"/>
      <c r="EZ1328" s="420"/>
      <c r="FA1328" s="420"/>
      <c r="FB1328" s="420"/>
      <c r="FC1328" s="420"/>
      <c r="FD1328" s="420"/>
      <c r="FE1328" s="420"/>
      <c r="FF1328" s="420"/>
      <c r="FG1328" s="420"/>
      <c r="FH1328" s="420"/>
      <c r="FI1328" s="420"/>
      <c r="FJ1328" s="420"/>
      <c r="FK1328" s="420"/>
      <c r="FL1328" s="420"/>
      <c r="FM1328" s="420"/>
      <c r="FN1328" s="420"/>
      <c r="FO1328" s="420"/>
      <c r="FP1328" s="420"/>
      <c r="FQ1328" s="420"/>
      <c r="FR1328" s="420"/>
      <c r="FS1328" s="420"/>
      <c r="FT1328" s="420"/>
      <c r="FU1328" s="420"/>
      <c r="FV1328" s="420"/>
      <c r="FW1328" s="420"/>
      <c r="FX1328" s="420"/>
      <c r="FY1328" s="420"/>
    </row>
    <row r="1329" spans="1:181" s="421" customFormat="1" ht="163.5" customHeight="1">
      <c r="A1329" s="918" t="s">
        <v>974</v>
      </c>
      <c r="B1329" s="927" t="s">
        <v>975</v>
      </c>
      <c r="C1329" s="920" t="s">
        <v>47</v>
      </c>
      <c r="D1329" s="921">
        <v>1</v>
      </c>
      <c r="E1329" s="922"/>
      <c r="F1329" s="380">
        <f>D1329*E1329</f>
        <v>0</v>
      </c>
      <c r="G1329" s="420"/>
      <c r="H1329" s="420"/>
      <c r="I1329" s="420"/>
      <c r="J1329" s="420"/>
      <c r="K1329" s="420"/>
      <c r="L1329" s="420"/>
      <c r="M1329" s="420"/>
      <c r="N1329" s="640">
        <f>E1329*1.2</f>
        <v>0</v>
      </c>
      <c r="O1329" s="640">
        <f>N1329*D1329</f>
        <v>0</v>
      </c>
      <c r="P1329" s="420"/>
      <c r="Q1329" s="420"/>
      <c r="R1329" s="420"/>
      <c r="S1329" s="420"/>
      <c r="T1329" s="420"/>
      <c r="U1329" s="420"/>
      <c r="V1329" s="420"/>
      <c r="W1329" s="420"/>
      <c r="X1329" s="420"/>
      <c r="Y1329" s="420"/>
      <c r="Z1329" s="420"/>
      <c r="AA1329" s="420"/>
      <c r="AB1329" s="420"/>
      <c r="AC1329" s="420"/>
      <c r="AD1329" s="420"/>
      <c r="AE1329" s="420"/>
      <c r="AF1329" s="420"/>
      <c r="AG1329" s="420"/>
      <c r="AH1329" s="420"/>
      <c r="AI1329" s="420"/>
      <c r="AJ1329" s="420"/>
      <c r="AK1329" s="420"/>
      <c r="AL1329" s="420"/>
      <c r="AM1329" s="420"/>
      <c r="AN1329" s="420"/>
      <c r="AO1329" s="420"/>
      <c r="AP1329" s="420"/>
      <c r="AQ1329" s="420"/>
      <c r="AR1329" s="420"/>
      <c r="AS1329" s="420"/>
      <c r="AT1329" s="420"/>
      <c r="AU1329" s="420"/>
      <c r="AV1329" s="420"/>
      <c r="AW1329" s="420"/>
      <c r="AX1329" s="420"/>
      <c r="AY1329" s="420"/>
      <c r="AZ1329" s="420"/>
      <c r="BA1329" s="420"/>
      <c r="BB1329" s="420"/>
      <c r="BC1329" s="420"/>
      <c r="BD1329" s="420"/>
      <c r="BE1329" s="420"/>
      <c r="BF1329" s="420"/>
      <c r="BG1329" s="420"/>
      <c r="BH1329" s="420"/>
      <c r="BI1329" s="420"/>
      <c r="BJ1329" s="420"/>
      <c r="BK1329" s="420"/>
      <c r="BL1329" s="420"/>
      <c r="BM1329" s="420"/>
      <c r="BN1329" s="420"/>
      <c r="BO1329" s="420"/>
      <c r="BP1329" s="420"/>
      <c r="BQ1329" s="420"/>
      <c r="BR1329" s="420"/>
      <c r="BS1329" s="420"/>
      <c r="BT1329" s="420"/>
      <c r="BU1329" s="420"/>
      <c r="BV1329" s="420"/>
      <c r="BW1329" s="420"/>
      <c r="BX1329" s="420"/>
      <c r="BY1329" s="420"/>
      <c r="BZ1329" s="420"/>
      <c r="CA1329" s="420"/>
      <c r="CB1329" s="420"/>
      <c r="CC1329" s="420"/>
      <c r="CD1329" s="420"/>
      <c r="CE1329" s="420"/>
      <c r="CF1329" s="420"/>
      <c r="CG1329" s="420"/>
      <c r="CH1329" s="420"/>
      <c r="CI1329" s="420"/>
      <c r="CJ1329" s="420"/>
      <c r="CK1329" s="420"/>
      <c r="CL1329" s="420"/>
      <c r="CM1329" s="420"/>
      <c r="CN1329" s="420"/>
      <c r="CO1329" s="420"/>
      <c r="CP1329" s="420"/>
      <c r="CQ1329" s="420"/>
      <c r="CR1329" s="420"/>
      <c r="CS1329" s="420"/>
      <c r="CT1329" s="420"/>
      <c r="CU1329" s="420"/>
      <c r="CV1329" s="420"/>
      <c r="CW1329" s="420"/>
      <c r="CX1329" s="420"/>
      <c r="CY1329" s="420"/>
      <c r="CZ1329" s="420"/>
      <c r="DA1329" s="420"/>
      <c r="DB1329" s="420"/>
      <c r="DC1329" s="420"/>
      <c r="DD1329" s="420"/>
      <c r="DE1329" s="420"/>
      <c r="DF1329" s="420"/>
      <c r="DG1329" s="420"/>
      <c r="DH1329" s="420"/>
      <c r="DI1329" s="420"/>
      <c r="DJ1329" s="420"/>
      <c r="DK1329" s="420"/>
      <c r="DL1329" s="420"/>
      <c r="DM1329" s="420"/>
      <c r="DN1329" s="420"/>
      <c r="DO1329" s="420"/>
      <c r="DP1329" s="420"/>
      <c r="DQ1329" s="420"/>
      <c r="DR1329" s="420"/>
      <c r="DS1329" s="420"/>
      <c r="DT1329" s="420"/>
      <c r="DU1329" s="420"/>
      <c r="DV1329" s="420"/>
      <c r="DW1329" s="420"/>
      <c r="DX1329" s="420"/>
      <c r="DY1329" s="420"/>
      <c r="DZ1329" s="420"/>
      <c r="EA1329" s="420"/>
      <c r="EB1329" s="420"/>
      <c r="EC1329" s="420"/>
      <c r="ED1329" s="420"/>
      <c r="EE1329" s="420"/>
      <c r="EF1329" s="420"/>
      <c r="EG1329" s="420"/>
      <c r="EH1329" s="420"/>
      <c r="EI1329" s="420"/>
      <c r="EJ1329" s="420"/>
      <c r="EK1329" s="420"/>
      <c r="EL1329" s="420"/>
      <c r="EM1329" s="420"/>
      <c r="EN1329" s="420"/>
      <c r="EO1329" s="420"/>
      <c r="EP1329" s="420"/>
      <c r="EQ1329" s="420"/>
      <c r="ER1329" s="420"/>
      <c r="ES1329" s="420"/>
      <c r="ET1329" s="420"/>
      <c r="EU1329" s="420"/>
      <c r="EV1329" s="420"/>
      <c r="EW1329" s="420"/>
      <c r="EX1329" s="420"/>
      <c r="EY1329" s="420"/>
      <c r="EZ1329" s="420"/>
      <c r="FA1329" s="420"/>
      <c r="FB1329" s="420"/>
      <c r="FC1329" s="420"/>
      <c r="FD1329" s="420"/>
      <c r="FE1329" s="420"/>
      <c r="FF1329" s="420"/>
      <c r="FG1329" s="420"/>
      <c r="FH1329" s="420"/>
      <c r="FI1329" s="420"/>
      <c r="FJ1329" s="420"/>
      <c r="FK1329" s="420"/>
      <c r="FL1329" s="420"/>
      <c r="FM1329" s="420"/>
      <c r="FN1329" s="420"/>
      <c r="FO1329" s="420"/>
      <c r="FP1329" s="420"/>
      <c r="FQ1329" s="420"/>
      <c r="FR1329" s="420"/>
      <c r="FS1329" s="420"/>
      <c r="FT1329" s="420"/>
      <c r="FU1329" s="420"/>
      <c r="FV1329" s="420"/>
      <c r="FW1329" s="420"/>
      <c r="FX1329" s="420"/>
      <c r="FY1329" s="420"/>
    </row>
    <row r="1330" spans="1:181" s="421" customFormat="1" ht="32.25" customHeight="1">
      <c r="A1330" s="971"/>
      <c r="B1330" s="953" t="s">
        <v>976</v>
      </c>
      <c r="C1330" s="977"/>
      <c r="D1330" s="921"/>
      <c r="E1330" s="922"/>
      <c r="F1330" s="923">
        <f>0+(D1330*E1330)</f>
        <v>0</v>
      </c>
      <c r="G1330" s="420"/>
      <c r="H1330" s="420"/>
      <c r="I1330" s="420"/>
      <c r="J1330" s="420"/>
      <c r="K1330" s="420"/>
      <c r="L1330" s="420"/>
      <c r="M1330" s="420"/>
      <c r="N1330" s="646"/>
      <c r="O1330" s="646"/>
      <c r="P1330" s="420"/>
      <c r="Q1330" s="420"/>
      <c r="R1330" s="420"/>
      <c r="S1330" s="420"/>
      <c r="T1330" s="420"/>
      <c r="U1330" s="420"/>
      <c r="V1330" s="420"/>
      <c r="W1330" s="420"/>
      <c r="X1330" s="420"/>
      <c r="Y1330" s="420"/>
      <c r="Z1330" s="420"/>
      <c r="AA1330" s="420"/>
      <c r="AB1330" s="420"/>
      <c r="AC1330" s="420"/>
      <c r="AD1330" s="420"/>
      <c r="AE1330" s="420"/>
      <c r="AF1330" s="420"/>
      <c r="AG1330" s="420"/>
      <c r="AH1330" s="420"/>
      <c r="AI1330" s="420"/>
      <c r="AJ1330" s="420"/>
      <c r="AK1330" s="420"/>
      <c r="AL1330" s="420"/>
      <c r="AM1330" s="420"/>
      <c r="AN1330" s="420"/>
      <c r="AO1330" s="420"/>
      <c r="AP1330" s="420"/>
      <c r="AQ1330" s="420"/>
      <c r="AR1330" s="420"/>
      <c r="AS1330" s="420"/>
      <c r="AT1330" s="420"/>
      <c r="AU1330" s="420"/>
      <c r="AV1330" s="420"/>
      <c r="AW1330" s="420"/>
      <c r="AX1330" s="420"/>
      <c r="AY1330" s="420"/>
      <c r="AZ1330" s="420"/>
      <c r="BA1330" s="420"/>
      <c r="BB1330" s="420"/>
      <c r="BC1330" s="420"/>
      <c r="BD1330" s="420"/>
      <c r="BE1330" s="420"/>
      <c r="BF1330" s="420"/>
      <c r="BG1330" s="420"/>
      <c r="BH1330" s="420"/>
      <c r="BI1330" s="420"/>
      <c r="BJ1330" s="420"/>
      <c r="BK1330" s="420"/>
      <c r="BL1330" s="420"/>
      <c r="BM1330" s="420"/>
      <c r="BN1330" s="420"/>
      <c r="BO1330" s="420"/>
      <c r="BP1330" s="420"/>
      <c r="BQ1330" s="420"/>
      <c r="BR1330" s="420"/>
      <c r="BS1330" s="420"/>
      <c r="BT1330" s="420"/>
      <c r="BU1330" s="420"/>
      <c r="BV1330" s="420"/>
      <c r="BW1330" s="420"/>
      <c r="BX1330" s="420"/>
      <c r="BY1330" s="420"/>
      <c r="BZ1330" s="420"/>
      <c r="CA1330" s="420"/>
      <c r="CB1330" s="420"/>
      <c r="CC1330" s="420"/>
      <c r="CD1330" s="420"/>
      <c r="CE1330" s="420"/>
      <c r="CF1330" s="420"/>
      <c r="CG1330" s="420"/>
      <c r="CH1330" s="420"/>
      <c r="CI1330" s="420"/>
      <c r="CJ1330" s="420"/>
      <c r="CK1330" s="420"/>
      <c r="CL1330" s="420"/>
      <c r="CM1330" s="420"/>
      <c r="CN1330" s="420"/>
      <c r="CO1330" s="420"/>
      <c r="CP1330" s="420"/>
      <c r="CQ1330" s="420"/>
      <c r="CR1330" s="420"/>
      <c r="CS1330" s="420"/>
      <c r="CT1330" s="420"/>
      <c r="CU1330" s="420"/>
      <c r="CV1330" s="420"/>
      <c r="CW1330" s="420"/>
      <c r="CX1330" s="420"/>
      <c r="CY1330" s="420"/>
      <c r="CZ1330" s="420"/>
      <c r="DA1330" s="420"/>
      <c r="DB1330" s="420"/>
      <c r="DC1330" s="420"/>
      <c r="DD1330" s="420"/>
      <c r="DE1330" s="420"/>
      <c r="DF1330" s="420"/>
      <c r="DG1330" s="420"/>
      <c r="DH1330" s="420"/>
      <c r="DI1330" s="420"/>
      <c r="DJ1330" s="420"/>
      <c r="DK1330" s="420"/>
      <c r="DL1330" s="420"/>
      <c r="DM1330" s="420"/>
      <c r="DN1330" s="420"/>
      <c r="DO1330" s="420"/>
      <c r="DP1330" s="420"/>
      <c r="DQ1330" s="420"/>
      <c r="DR1330" s="420"/>
      <c r="DS1330" s="420"/>
      <c r="DT1330" s="420"/>
      <c r="DU1330" s="420"/>
      <c r="DV1330" s="420"/>
      <c r="DW1330" s="420"/>
      <c r="DX1330" s="420"/>
      <c r="DY1330" s="420"/>
      <c r="DZ1330" s="420"/>
      <c r="EA1330" s="420"/>
      <c r="EB1330" s="420"/>
      <c r="EC1330" s="420"/>
      <c r="ED1330" s="420"/>
      <c r="EE1330" s="420"/>
      <c r="EF1330" s="420"/>
      <c r="EG1330" s="420"/>
      <c r="EH1330" s="420"/>
      <c r="EI1330" s="420"/>
      <c r="EJ1330" s="420"/>
      <c r="EK1330" s="420"/>
      <c r="EL1330" s="420"/>
      <c r="EM1330" s="420"/>
      <c r="EN1330" s="420"/>
      <c r="EO1330" s="420"/>
      <c r="EP1330" s="420"/>
      <c r="EQ1330" s="420"/>
      <c r="ER1330" s="420"/>
      <c r="ES1330" s="420"/>
      <c r="ET1330" s="420"/>
      <c r="EU1330" s="420"/>
      <c r="EV1330" s="420"/>
      <c r="EW1330" s="420"/>
      <c r="EX1330" s="420"/>
      <c r="EY1330" s="420"/>
      <c r="EZ1330" s="420"/>
      <c r="FA1330" s="420"/>
      <c r="FB1330" s="420"/>
      <c r="FC1330" s="420"/>
      <c r="FD1330" s="420"/>
      <c r="FE1330" s="420"/>
      <c r="FF1330" s="420"/>
      <c r="FG1330" s="420"/>
      <c r="FH1330" s="420"/>
      <c r="FI1330" s="420"/>
      <c r="FJ1330" s="420"/>
      <c r="FK1330" s="420"/>
      <c r="FL1330" s="420"/>
      <c r="FM1330" s="420"/>
      <c r="FN1330" s="420"/>
      <c r="FO1330" s="420"/>
      <c r="FP1330" s="420"/>
      <c r="FQ1330" s="420"/>
      <c r="FR1330" s="420"/>
      <c r="FS1330" s="420"/>
      <c r="FT1330" s="420"/>
      <c r="FU1330" s="420"/>
      <c r="FV1330" s="420"/>
      <c r="FW1330" s="420"/>
      <c r="FX1330" s="420"/>
      <c r="FY1330" s="420"/>
    </row>
    <row r="1331" spans="1:181" s="421" customFormat="1" ht="68.25" customHeight="1">
      <c r="A1331" s="971" t="s">
        <v>977</v>
      </c>
      <c r="B1331" s="927" t="s">
        <v>978</v>
      </c>
      <c r="C1331" s="970" t="s">
        <v>47</v>
      </c>
      <c r="D1331" s="921">
        <v>7</v>
      </c>
      <c r="E1331" s="922"/>
      <c r="F1331" s="380">
        <f>D1331*E1331</f>
        <v>0</v>
      </c>
      <c r="G1331" s="420"/>
      <c r="H1331" s="420"/>
      <c r="I1331" s="420"/>
      <c r="J1331" s="420"/>
      <c r="K1331" s="420"/>
      <c r="L1331" s="420"/>
      <c r="M1331" s="420"/>
      <c r="N1331" s="640">
        <f>E1331*1.2</f>
        <v>0</v>
      </c>
      <c r="O1331" s="640">
        <f>N1331*D1331</f>
        <v>0</v>
      </c>
      <c r="P1331" s="420"/>
      <c r="Q1331" s="420"/>
      <c r="R1331" s="420"/>
      <c r="S1331" s="420"/>
      <c r="T1331" s="420"/>
      <c r="U1331" s="420"/>
      <c r="V1331" s="420"/>
      <c r="W1331" s="420"/>
      <c r="X1331" s="420"/>
      <c r="Y1331" s="420"/>
      <c r="Z1331" s="420"/>
      <c r="AA1331" s="420"/>
      <c r="AB1331" s="420"/>
      <c r="AC1331" s="420"/>
      <c r="AD1331" s="420"/>
      <c r="AE1331" s="420"/>
      <c r="AF1331" s="420"/>
      <c r="AG1331" s="420"/>
      <c r="AH1331" s="420"/>
      <c r="AI1331" s="420"/>
      <c r="AJ1331" s="420"/>
      <c r="AK1331" s="420"/>
      <c r="AL1331" s="420"/>
      <c r="AM1331" s="420"/>
      <c r="AN1331" s="420"/>
      <c r="AO1331" s="420"/>
      <c r="AP1331" s="420"/>
      <c r="AQ1331" s="420"/>
      <c r="AR1331" s="420"/>
      <c r="AS1331" s="420"/>
      <c r="AT1331" s="420"/>
      <c r="AU1331" s="420"/>
      <c r="AV1331" s="420"/>
      <c r="AW1331" s="420"/>
      <c r="AX1331" s="420"/>
      <c r="AY1331" s="420"/>
      <c r="AZ1331" s="420"/>
      <c r="BA1331" s="420"/>
      <c r="BB1331" s="420"/>
      <c r="BC1331" s="420"/>
      <c r="BD1331" s="420"/>
      <c r="BE1331" s="420"/>
      <c r="BF1331" s="420"/>
      <c r="BG1331" s="420"/>
      <c r="BH1331" s="420"/>
      <c r="BI1331" s="420"/>
      <c r="BJ1331" s="420"/>
      <c r="BK1331" s="420"/>
      <c r="BL1331" s="420"/>
      <c r="BM1331" s="420"/>
      <c r="BN1331" s="420"/>
      <c r="BO1331" s="420"/>
      <c r="BP1331" s="420"/>
      <c r="BQ1331" s="420"/>
      <c r="BR1331" s="420"/>
      <c r="BS1331" s="420"/>
      <c r="BT1331" s="420"/>
      <c r="BU1331" s="420"/>
      <c r="BV1331" s="420"/>
      <c r="BW1331" s="420"/>
      <c r="BX1331" s="420"/>
      <c r="BY1331" s="420"/>
      <c r="BZ1331" s="420"/>
      <c r="CA1331" s="420"/>
      <c r="CB1331" s="420"/>
      <c r="CC1331" s="420"/>
      <c r="CD1331" s="420"/>
      <c r="CE1331" s="420"/>
      <c r="CF1331" s="420"/>
      <c r="CG1331" s="420"/>
      <c r="CH1331" s="420"/>
      <c r="CI1331" s="420"/>
      <c r="CJ1331" s="420"/>
      <c r="CK1331" s="420"/>
      <c r="CL1331" s="420"/>
      <c r="CM1331" s="420"/>
      <c r="CN1331" s="420"/>
      <c r="CO1331" s="420"/>
      <c r="CP1331" s="420"/>
      <c r="CQ1331" s="420"/>
      <c r="CR1331" s="420"/>
      <c r="CS1331" s="420"/>
      <c r="CT1331" s="420"/>
      <c r="CU1331" s="420"/>
      <c r="CV1331" s="420"/>
      <c r="CW1331" s="420"/>
      <c r="CX1331" s="420"/>
      <c r="CY1331" s="420"/>
      <c r="CZ1331" s="420"/>
      <c r="DA1331" s="420"/>
      <c r="DB1331" s="420"/>
      <c r="DC1331" s="420"/>
      <c r="DD1331" s="420"/>
      <c r="DE1331" s="420"/>
      <c r="DF1331" s="420"/>
      <c r="DG1331" s="420"/>
      <c r="DH1331" s="420"/>
      <c r="DI1331" s="420"/>
      <c r="DJ1331" s="420"/>
      <c r="DK1331" s="420"/>
      <c r="DL1331" s="420"/>
      <c r="DM1331" s="420"/>
      <c r="DN1331" s="420"/>
      <c r="DO1331" s="420"/>
      <c r="DP1331" s="420"/>
      <c r="DQ1331" s="420"/>
      <c r="DR1331" s="420"/>
      <c r="DS1331" s="420"/>
      <c r="DT1331" s="420"/>
      <c r="DU1331" s="420"/>
      <c r="DV1331" s="420"/>
      <c r="DW1331" s="420"/>
      <c r="DX1331" s="420"/>
      <c r="DY1331" s="420"/>
      <c r="DZ1331" s="420"/>
      <c r="EA1331" s="420"/>
      <c r="EB1331" s="420"/>
      <c r="EC1331" s="420"/>
      <c r="ED1331" s="420"/>
      <c r="EE1331" s="420"/>
      <c r="EF1331" s="420"/>
      <c r="EG1331" s="420"/>
      <c r="EH1331" s="420"/>
      <c r="EI1331" s="420"/>
      <c r="EJ1331" s="420"/>
      <c r="EK1331" s="420"/>
      <c r="EL1331" s="420"/>
      <c r="EM1331" s="420"/>
      <c r="EN1331" s="420"/>
      <c r="EO1331" s="420"/>
      <c r="EP1331" s="420"/>
      <c r="EQ1331" s="420"/>
      <c r="ER1331" s="420"/>
      <c r="ES1331" s="420"/>
      <c r="ET1331" s="420"/>
      <c r="EU1331" s="420"/>
      <c r="EV1331" s="420"/>
      <c r="EW1331" s="420"/>
      <c r="EX1331" s="420"/>
      <c r="EY1331" s="420"/>
      <c r="EZ1331" s="420"/>
      <c r="FA1331" s="420"/>
      <c r="FB1331" s="420"/>
      <c r="FC1331" s="420"/>
      <c r="FD1331" s="420"/>
      <c r="FE1331" s="420"/>
      <c r="FF1331" s="420"/>
      <c r="FG1331" s="420"/>
      <c r="FH1331" s="420"/>
      <c r="FI1331" s="420"/>
      <c r="FJ1331" s="420"/>
      <c r="FK1331" s="420"/>
      <c r="FL1331" s="420"/>
      <c r="FM1331" s="420"/>
      <c r="FN1331" s="420"/>
      <c r="FO1331" s="420"/>
      <c r="FP1331" s="420"/>
      <c r="FQ1331" s="420"/>
      <c r="FR1331" s="420"/>
      <c r="FS1331" s="420"/>
      <c r="FT1331" s="420"/>
      <c r="FU1331" s="420"/>
      <c r="FV1331" s="420"/>
      <c r="FW1331" s="420"/>
      <c r="FX1331" s="420"/>
      <c r="FY1331" s="420"/>
    </row>
    <row r="1332" spans="1:181" s="421" customFormat="1" ht="19.5" customHeight="1">
      <c r="A1332" s="971" t="s">
        <v>979</v>
      </c>
      <c r="B1332" s="927" t="s">
        <v>980</v>
      </c>
      <c r="C1332" s="970" t="s">
        <v>47</v>
      </c>
      <c r="D1332" s="921">
        <v>1</v>
      </c>
      <c r="E1332" s="922"/>
      <c r="F1332" s="380">
        <f>D1332*E1332</f>
        <v>0</v>
      </c>
      <c r="G1332" s="420"/>
      <c r="H1332" s="420"/>
      <c r="I1332" s="420"/>
      <c r="J1332" s="420"/>
      <c r="K1332" s="420"/>
      <c r="L1332" s="420"/>
      <c r="M1332" s="420"/>
      <c r="N1332" s="640">
        <f>E1332*1.2</f>
        <v>0</v>
      </c>
      <c r="O1332" s="640">
        <f>N1332*D1332</f>
        <v>0</v>
      </c>
      <c r="P1332" s="420"/>
      <c r="Q1332" s="420"/>
      <c r="R1332" s="420"/>
      <c r="S1332" s="420"/>
      <c r="T1332" s="420"/>
      <c r="U1332" s="420"/>
      <c r="V1332" s="420"/>
      <c r="W1332" s="420"/>
      <c r="X1332" s="420"/>
      <c r="Y1332" s="420"/>
      <c r="Z1332" s="420"/>
      <c r="AA1332" s="420"/>
      <c r="AB1332" s="420"/>
      <c r="AC1332" s="420"/>
      <c r="AD1332" s="420"/>
      <c r="AE1332" s="420"/>
      <c r="AF1332" s="420"/>
      <c r="AG1332" s="420"/>
      <c r="AH1332" s="420"/>
      <c r="AI1332" s="420"/>
      <c r="AJ1332" s="420"/>
      <c r="AK1332" s="420"/>
      <c r="AL1332" s="420"/>
      <c r="AM1332" s="420"/>
      <c r="AN1332" s="420"/>
      <c r="AO1332" s="420"/>
      <c r="AP1332" s="420"/>
      <c r="AQ1332" s="420"/>
      <c r="AR1332" s="420"/>
      <c r="AS1332" s="420"/>
      <c r="AT1332" s="420"/>
      <c r="AU1332" s="420"/>
      <c r="AV1332" s="420"/>
      <c r="AW1332" s="420"/>
      <c r="AX1332" s="420"/>
      <c r="AY1332" s="420"/>
      <c r="AZ1332" s="420"/>
      <c r="BA1332" s="420"/>
      <c r="BB1332" s="420"/>
      <c r="BC1332" s="420"/>
      <c r="BD1332" s="420"/>
      <c r="BE1332" s="420"/>
      <c r="BF1332" s="420"/>
      <c r="BG1332" s="420"/>
      <c r="BH1332" s="420"/>
      <c r="BI1332" s="420"/>
      <c r="BJ1332" s="420"/>
      <c r="BK1332" s="420"/>
      <c r="BL1332" s="420"/>
      <c r="BM1332" s="420"/>
      <c r="BN1332" s="420"/>
      <c r="BO1332" s="420"/>
      <c r="BP1332" s="420"/>
      <c r="BQ1332" s="420"/>
      <c r="BR1332" s="420"/>
      <c r="BS1332" s="420"/>
      <c r="BT1332" s="420"/>
      <c r="BU1332" s="420"/>
      <c r="BV1332" s="420"/>
      <c r="BW1332" s="420"/>
      <c r="BX1332" s="420"/>
      <c r="BY1332" s="420"/>
      <c r="BZ1332" s="420"/>
      <c r="CA1332" s="420"/>
      <c r="CB1332" s="420"/>
      <c r="CC1332" s="420"/>
      <c r="CD1332" s="420"/>
      <c r="CE1332" s="420"/>
      <c r="CF1332" s="420"/>
      <c r="CG1332" s="420"/>
      <c r="CH1332" s="420"/>
      <c r="CI1332" s="420"/>
      <c r="CJ1332" s="420"/>
      <c r="CK1332" s="420"/>
      <c r="CL1332" s="420"/>
      <c r="CM1332" s="420"/>
      <c r="CN1332" s="420"/>
      <c r="CO1332" s="420"/>
      <c r="CP1332" s="420"/>
      <c r="CQ1332" s="420"/>
      <c r="CR1332" s="420"/>
      <c r="CS1332" s="420"/>
      <c r="CT1332" s="420"/>
      <c r="CU1332" s="420"/>
      <c r="CV1332" s="420"/>
      <c r="CW1332" s="420"/>
      <c r="CX1332" s="420"/>
      <c r="CY1332" s="420"/>
      <c r="CZ1332" s="420"/>
      <c r="DA1332" s="420"/>
      <c r="DB1332" s="420"/>
      <c r="DC1332" s="420"/>
      <c r="DD1332" s="420"/>
      <c r="DE1332" s="420"/>
      <c r="DF1332" s="420"/>
      <c r="DG1332" s="420"/>
      <c r="DH1332" s="420"/>
      <c r="DI1332" s="420"/>
      <c r="DJ1332" s="420"/>
      <c r="DK1332" s="420"/>
      <c r="DL1332" s="420"/>
      <c r="DM1332" s="420"/>
      <c r="DN1332" s="420"/>
      <c r="DO1332" s="420"/>
      <c r="DP1332" s="420"/>
      <c r="DQ1332" s="420"/>
      <c r="DR1332" s="420"/>
      <c r="DS1332" s="420"/>
      <c r="DT1332" s="420"/>
      <c r="DU1332" s="420"/>
      <c r="DV1332" s="420"/>
      <c r="DW1332" s="420"/>
      <c r="DX1332" s="420"/>
      <c r="DY1332" s="420"/>
      <c r="DZ1332" s="420"/>
      <c r="EA1332" s="420"/>
      <c r="EB1332" s="420"/>
      <c r="EC1332" s="420"/>
      <c r="ED1332" s="420"/>
      <c r="EE1332" s="420"/>
      <c r="EF1332" s="420"/>
      <c r="EG1332" s="420"/>
      <c r="EH1332" s="420"/>
      <c r="EI1332" s="420"/>
      <c r="EJ1332" s="420"/>
      <c r="EK1332" s="420"/>
      <c r="EL1332" s="420"/>
      <c r="EM1332" s="420"/>
      <c r="EN1332" s="420"/>
      <c r="EO1332" s="420"/>
      <c r="EP1332" s="420"/>
      <c r="EQ1332" s="420"/>
      <c r="ER1332" s="420"/>
      <c r="ES1332" s="420"/>
      <c r="ET1332" s="420"/>
      <c r="EU1332" s="420"/>
      <c r="EV1332" s="420"/>
      <c r="EW1332" s="420"/>
      <c r="EX1332" s="420"/>
      <c r="EY1332" s="420"/>
      <c r="EZ1332" s="420"/>
      <c r="FA1332" s="420"/>
      <c r="FB1332" s="420"/>
      <c r="FC1332" s="420"/>
      <c r="FD1332" s="420"/>
      <c r="FE1332" s="420"/>
      <c r="FF1332" s="420"/>
      <c r="FG1332" s="420"/>
      <c r="FH1332" s="420"/>
      <c r="FI1332" s="420"/>
      <c r="FJ1332" s="420"/>
      <c r="FK1332" s="420"/>
      <c r="FL1332" s="420"/>
      <c r="FM1332" s="420"/>
      <c r="FN1332" s="420"/>
      <c r="FO1332" s="420"/>
      <c r="FP1332" s="420"/>
      <c r="FQ1332" s="420"/>
      <c r="FR1332" s="420"/>
      <c r="FS1332" s="420"/>
      <c r="FT1332" s="420"/>
      <c r="FU1332" s="420"/>
      <c r="FV1332" s="420"/>
      <c r="FW1332" s="420"/>
      <c r="FX1332" s="420"/>
      <c r="FY1332" s="420"/>
    </row>
    <row r="1333" spans="1:181" s="421" customFormat="1" ht="55.5" customHeight="1">
      <c r="A1333" s="918" t="s">
        <v>981</v>
      </c>
      <c r="B1333" s="927" t="s">
        <v>982</v>
      </c>
      <c r="C1333" s="970" t="s">
        <v>47</v>
      </c>
      <c r="D1333" s="921">
        <v>1</v>
      </c>
      <c r="E1333" s="922"/>
      <c r="F1333" s="380">
        <f>D1333*E1333</f>
        <v>0</v>
      </c>
      <c r="G1333" s="420"/>
      <c r="H1333" s="420"/>
      <c r="I1333" s="420"/>
      <c r="J1333" s="420"/>
      <c r="K1333" s="420"/>
      <c r="L1333" s="420"/>
      <c r="M1333" s="420"/>
      <c r="N1333" s="640">
        <f>E1333*1.2</f>
        <v>0</v>
      </c>
      <c r="O1333" s="640">
        <f>N1333*D1333</f>
        <v>0</v>
      </c>
      <c r="P1333" s="420"/>
      <c r="Q1333" s="420"/>
      <c r="R1333" s="420"/>
      <c r="S1333" s="420"/>
      <c r="T1333" s="420"/>
      <c r="U1333" s="420"/>
      <c r="V1333" s="420"/>
      <c r="W1333" s="420"/>
      <c r="X1333" s="420"/>
      <c r="Y1333" s="420"/>
      <c r="Z1333" s="420"/>
      <c r="AA1333" s="420"/>
      <c r="AB1333" s="420"/>
      <c r="AC1333" s="420"/>
      <c r="AD1333" s="420"/>
      <c r="AE1333" s="420"/>
      <c r="AF1333" s="420"/>
      <c r="AG1333" s="420"/>
      <c r="AH1333" s="420"/>
      <c r="AI1333" s="420"/>
      <c r="AJ1333" s="420"/>
      <c r="AK1333" s="420"/>
      <c r="AL1333" s="420"/>
      <c r="AM1333" s="420"/>
      <c r="AN1333" s="420"/>
      <c r="AO1333" s="420"/>
      <c r="AP1333" s="420"/>
      <c r="AQ1333" s="420"/>
      <c r="AR1333" s="420"/>
      <c r="AS1333" s="420"/>
      <c r="AT1333" s="420"/>
      <c r="AU1333" s="420"/>
      <c r="AV1333" s="420"/>
      <c r="AW1333" s="420"/>
      <c r="AX1333" s="420"/>
      <c r="AY1333" s="420"/>
      <c r="AZ1333" s="420"/>
      <c r="BA1333" s="420"/>
      <c r="BB1333" s="420"/>
      <c r="BC1333" s="420"/>
      <c r="BD1333" s="420"/>
      <c r="BE1333" s="420"/>
      <c r="BF1333" s="420"/>
      <c r="BG1333" s="420"/>
      <c r="BH1333" s="420"/>
      <c r="BI1333" s="420"/>
      <c r="BJ1333" s="420"/>
      <c r="BK1333" s="420"/>
      <c r="BL1333" s="420"/>
      <c r="BM1333" s="420"/>
      <c r="BN1333" s="420"/>
      <c r="BO1333" s="420"/>
      <c r="BP1333" s="420"/>
      <c r="BQ1333" s="420"/>
      <c r="BR1333" s="420"/>
      <c r="BS1333" s="420"/>
      <c r="BT1333" s="420"/>
      <c r="BU1333" s="420"/>
      <c r="BV1333" s="420"/>
      <c r="BW1333" s="420"/>
      <c r="BX1333" s="420"/>
      <c r="BY1333" s="420"/>
      <c r="BZ1333" s="420"/>
      <c r="CA1333" s="420"/>
      <c r="CB1333" s="420"/>
      <c r="CC1333" s="420"/>
      <c r="CD1333" s="420"/>
      <c r="CE1333" s="420"/>
      <c r="CF1333" s="420"/>
      <c r="CG1333" s="420"/>
      <c r="CH1333" s="420"/>
      <c r="CI1333" s="420"/>
      <c r="CJ1333" s="420"/>
      <c r="CK1333" s="420"/>
      <c r="CL1333" s="420"/>
      <c r="CM1333" s="420"/>
      <c r="CN1333" s="420"/>
      <c r="CO1333" s="420"/>
      <c r="CP1333" s="420"/>
      <c r="CQ1333" s="420"/>
      <c r="CR1333" s="420"/>
      <c r="CS1333" s="420"/>
      <c r="CT1333" s="420"/>
      <c r="CU1333" s="420"/>
      <c r="CV1333" s="420"/>
      <c r="CW1333" s="420"/>
      <c r="CX1333" s="420"/>
      <c r="CY1333" s="420"/>
      <c r="CZ1333" s="420"/>
      <c r="DA1333" s="420"/>
      <c r="DB1333" s="420"/>
      <c r="DC1333" s="420"/>
      <c r="DD1333" s="420"/>
      <c r="DE1333" s="420"/>
      <c r="DF1333" s="420"/>
      <c r="DG1333" s="420"/>
      <c r="DH1333" s="420"/>
      <c r="DI1333" s="420"/>
      <c r="DJ1333" s="420"/>
      <c r="DK1333" s="420"/>
      <c r="DL1333" s="420"/>
      <c r="DM1333" s="420"/>
      <c r="DN1333" s="420"/>
      <c r="DO1333" s="420"/>
      <c r="DP1333" s="420"/>
      <c r="DQ1333" s="420"/>
      <c r="DR1333" s="420"/>
      <c r="DS1333" s="420"/>
      <c r="DT1333" s="420"/>
      <c r="DU1333" s="420"/>
      <c r="DV1333" s="420"/>
      <c r="DW1333" s="420"/>
      <c r="DX1333" s="420"/>
      <c r="DY1333" s="420"/>
      <c r="DZ1333" s="420"/>
      <c r="EA1333" s="420"/>
      <c r="EB1333" s="420"/>
      <c r="EC1333" s="420"/>
      <c r="ED1333" s="420"/>
      <c r="EE1333" s="420"/>
      <c r="EF1333" s="420"/>
      <c r="EG1333" s="420"/>
      <c r="EH1333" s="420"/>
      <c r="EI1333" s="420"/>
      <c r="EJ1333" s="420"/>
      <c r="EK1333" s="420"/>
      <c r="EL1333" s="420"/>
      <c r="EM1333" s="420"/>
      <c r="EN1333" s="420"/>
      <c r="EO1333" s="420"/>
      <c r="EP1333" s="420"/>
      <c r="EQ1333" s="420"/>
      <c r="ER1333" s="420"/>
      <c r="ES1333" s="420"/>
      <c r="ET1333" s="420"/>
      <c r="EU1333" s="420"/>
      <c r="EV1333" s="420"/>
      <c r="EW1333" s="420"/>
      <c r="EX1333" s="420"/>
      <c r="EY1333" s="420"/>
      <c r="EZ1333" s="420"/>
      <c r="FA1333" s="420"/>
      <c r="FB1333" s="420"/>
      <c r="FC1333" s="420"/>
      <c r="FD1333" s="420"/>
      <c r="FE1333" s="420"/>
      <c r="FF1333" s="420"/>
      <c r="FG1333" s="420"/>
      <c r="FH1333" s="420"/>
      <c r="FI1333" s="420"/>
      <c r="FJ1333" s="420"/>
      <c r="FK1333" s="420"/>
      <c r="FL1333" s="420"/>
      <c r="FM1333" s="420"/>
      <c r="FN1333" s="420"/>
      <c r="FO1333" s="420"/>
      <c r="FP1333" s="420"/>
      <c r="FQ1333" s="420"/>
      <c r="FR1333" s="420"/>
      <c r="FS1333" s="420"/>
      <c r="FT1333" s="420"/>
      <c r="FU1333" s="420"/>
      <c r="FV1333" s="420"/>
      <c r="FW1333" s="420"/>
      <c r="FX1333" s="420"/>
      <c r="FY1333" s="420"/>
    </row>
    <row r="1334" spans="1:181" s="421" customFormat="1" ht="44.25" customHeight="1">
      <c r="A1334" s="918" t="s">
        <v>983</v>
      </c>
      <c r="B1334" s="927" t="s">
        <v>984</v>
      </c>
      <c r="C1334" s="970" t="s">
        <v>47</v>
      </c>
      <c r="D1334" s="921">
        <v>1</v>
      </c>
      <c r="E1334" s="922"/>
      <c r="F1334" s="380">
        <f>D1334*E1334</f>
        <v>0</v>
      </c>
      <c r="G1334" s="420"/>
      <c r="H1334" s="420"/>
      <c r="I1334" s="420"/>
      <c r="J1334" s="420"/>
      <c r="K1334" s="420"/>
      <c r="L1334" s="420"/>
      <c r="M1334" s="420"/>
      <c r="N1334" s="640">
        <f>E1334*1.2</f>
        <v>0</v>
      </c>
      <c r="O1334" s="640">
        <f>N1334*D1334</f>
        <v>0</v>
      </c>
      <c r="P1334" s="420"/>
      <c r="Q1334" s="420"/>
      <c r="R1334" s="420"/>
      <c r="S1334" s="420"/>
      <c r="T1334" s="420"/>
      <c r="U1334" s="420"/>
      <c r="V1334" s="420"/>
      <c r="W1334" s="420"/>
      <c r="X1334" s="420"/>
      <c r="Y1334" s="420"/>
      <c r="Z1334" s="420"/>
      <c r="AA1334" s="420"/>
      <c r="AB1334" s="420"/>
      <c r="AC1334" s="420"/>
      <c r="AD1334" s="420"/>
      <c r="AE1334" s="420"/>
      <c r="AF1334" s="420"/>
      <c r="AG1334" s="420"/>
      <c r="AH1334" s="420"/>
      <c r="AI1334" s="420"/>
      <c r="AJ1334" s="420"/>
      <c r="AK1334" s="420"/>
      <c r="AL1334" s="420"/>
      <c r="AM1334" s="420"/>
      <c r="AN1334" s="420"/>
      <c r="AO1334" s="420"/>
      <c r="AP1334" s="420"/>
      <c r="AQ1334" s="420"/>
      <c r="AR1334" s="420"/>
      <c r="AS1334" s="420"/>
      <c r="AT1334" s="420"/>
      <c r="AU1334" s="420"/>
      <c r="AV1334" s="420"/>
      <c r="AW1334" s="420"/>
      <c r="AX1334" s="420"/>
      <c r="AY1334" s="420"/>
      <c r="AZ1334" s="420"/>
      <c r="BA1334" s="420"/>
      <c r="BB1334" s="420"/>
      <c r="BC1334" s="420"/>
      <c r="BD1334" s="420"/>
      <c r="BE1334" s="420"/>
      <c r="BF1334" s="420"/>
      <c r="BG1334" s="420"/>
      <c r="BH1334" s="420"/>
      <c r="BI1334" s="420"/>
      <c r="BJ1334" s="420"/>
      <c r="BK1334" s="420"/>
      <c r="BL1334" s="420"/>
      <c r="BM1334" s="420"/>
      <c r="BN1334" s="420"/>
      <c r="BO1334" s="420"/>
      <c r="BP1334" s="420"/>
      <c r="BQ1334" s="420"/>
      <c r="BR1334" s="420"/>
      <c r="BS1334" s="420"/>
      <c r="BT1334" s="420"/>
      <c r="BU1334" s="420"/>
      <c r="BV1334" s="420"/>
      <c r="BW1334" s="420"/>
      <c r="BX1334" s="420"/>
      <c r="BY1334" s="420"/>
      <c r="BZ1334" s="420"/>
      <c r="CA1334" s="420"/>
      <c r="CB1334" s="420"/>
      <c r="CC1334" s="420"/>
      <c r="CD1334" s="420"/>
      <c r="CE1334" s="420"/>
      <c r="CF1334" s="420"/>
      <c r="CG1334" s="420"/>
      <c r="CH1334" s="420"/>
      <c r="CI1334" s="420"/>
      <c r="CJ1334" s="420"/>
      <c r="CK1334" s="420"/>
      <c r="CL1334" s="420"/>
      <c r="CM1334" s="420"/>
      <c r="CN1334" s="420"/>
      <c r="CO1334" s="420"/>
      <c r="CP1334" s="420"/>
      <c r="CQ1334" s="420"/>
      <c r="CR1334" s="420"/>
      <c r="CS1334" s="420"/>
      <c r="CT1334" s="420"/>
      <c r="CU1334" s="420"/>
      <c r="CV1334" s="420"/>
      <c r="CW1334" s="420"/>
      <c r="CX1334" s="420"/>
      <c r="CY1334" s="420"/>
      <c r="CZ1334" s="420"/>
      <c r="DA1334" s="420"/>
      <c r="DB1334" s="420"/>
      <c r="DC1334" s="420"/>
      <c r="DD1334" s="420"/>
      <c r="DE1334" s="420"/>
      <c r="DF1334" s="420"/>
      <c r="DG1334" s="420"/>
      <c r="DH1334" s="420"/>
      <c r="DI1334" s="420"/>
      <c r="DJ1334" s="420"/>
      <c r="DK1334" s="420"/>
      <c r="DL1334" s="420"/>
      <c r="DM1334" s="420"/>
      <c r="DN1334" s="420"/>
      <c r="DO1334" s="420"/>
      <c r="DP1334" s="420"/>
      <c r="DQ1334" s="420"/>
      <c r="DR1334" s="420"/>
      <c r="DS1334" s="420"/>
      <c r="DT1334" s="420"/>
      <c r="DU1334" s="420"/>
      <c r="DV1334" s="420"/>
      <c r="DW1334" s="420"/>
      <c r="DX1334" s="420"/>
      <c r="DY1334" s="420"/>
      <c r="DZ1334" s="420"/>
      <c r="EA1334" s="420"/>
      <c r="EB1334" s="420"/>
      <c r="EC1334" s="420"/>
      <c r="ED1334" s="420"/>
      <c r="EE1334" s="420"/>
      <c r="EF1334" s="420"/>
      <c r="EG1334" s="420"/>
      <c r="EH1334" s="420"/>
      <c r="EI1334" s="420"/>
      <c r="EJ1334" s="420"/>
      <c r="EK1334" s="420"/>
      <c r="EL1334" s="420"/>
      <c r="EM1334" s="420"/>
      <c r="EN1334" s="420"/>
      <c r="EO1334" s="420"/>
      <c r="EP1334" s="420"/>
      <c r="EQ1334" s="420"/>
      <c r="ER1334" s="420"/>
      <c r="ES1334" s="420"/>
      <c r="ET1334" s="420"/>
      <c r="EU1334" s="420"/>
      <c r="EV1334" s="420"/>
      <c r="EW1334" s="420"/>
      <c r="EX1334" s="420"/>
      <c r="EY1334" s="420"/>
      <c r="EZ1334" s="420"/>
      <c r="FA1334" s="420"/>
      <c r="FB1334" s="420"/>
      <c r="FC1334" s="420"/>
      <c r="FD1334" s="420"/>
      <c r="FE1334" s="420"/>
      <c r="FF1334" s="420"/>
      <c r="FG1334" s="420"/>
      <c r="FH1334" s="420"/>
      <c r="FI1334" s="420"/>
      <c r="FJ1334" s="420"/>
      <c r="FK1334" s="420"/>
      <c r="FL1334" s="420"/>
      <c r="FM1334" s="420"/>
      <c r="FN1334" s="420"/>
      <c r="FO1334" s="420"/>
      <c r="FP1334" s="420"/>
      <c r="FQ1334" s="420"/>
      <c r="FR1334" s="420"/>
      <c r="FS1334" s="420"/>
      <c r="FT1334" s="420"/>
      <c r="FU1334" s="420"/>
      <c r="FV1334" s="420"/>
      <c r="FW1334" s="420"/>
      <c r="FX1334" s="420"/>
      <c r="FY1334" s="420"/>
    </row>
    <row r="1335" spans="1:181" s="421" customFormat="1" ht="20.25" customHeight="1">
      <c r="A1335" s="954"/>
      <c r="B1335" s="955" t="s">
        <v>922</v>
      </c>
      <c r="C1335" s="956"/>
      <c r="D1335" s="956"/>
      <c r="E1335" s="956"/>
      <c r="F1335" s="956"/>
      <c r="G1335" s="420"/>
      <c r="H1335" s="420"/>
      <c r="I1335" s="420"/>
      <c r="J1335" s="420"/>
      <c r="K1335" s="420"/>
      <c r="L1335" s="420"/>
      <c r="M1335" s="420"/>
      <c r="N1335" s="646"/>
      <c r="O1335" s="646"/>
      <c r="P1335" s="420"/>
      <c r="Q1335" s="420"/>
      <c r="R1335" s="420"/>
      <c r="S1335" s="420"/>
      <c r="T1335" s="420"/>
      <c r="U1335" s="420"/>
      <c r="V1335" s="420"/>
      <c r="W1335" s="420"/>
      <c r="X1335" s="420"/>
      <c r="Y1335" s="420"/>
      <c r="Z1335" s="420"/>
      <c r="AA1335" s="420"/>
      <c r="AB1335" s="420"/>
      <c r="AC1335" s="420"/>
      <c r="AD1335" s="420"/>
      <c r="AE1335" s="420"/>
      <c r="AF1335" s="420"/>
      <c r="AG1335" s="420"/>
      <c r="AH1335" s="420"/>
      <c r="AI1335" s="420"/>
      <c r="AJ1335" s="420"/>
      <c r="AK1335" s="420"/>
      <c r="AL1335" s="420"/>
      <c r="AM1335" s="420"/>
      <c r="AN1335" s="420"/>
      <c r="AO1335" s="420"/>
      <c r="AP1335" s="420"/>
      <c r="AQ1335" s="420"/>
      <c r="AR1335" s="420"/>
      <c r="AS1335" s="420"/>
      <c r="AT1335" s="420"/>
      <c r="AU1335" s="420"/>
      <c r="AV1335" s="420"/>
      <c r="AW1335" s="420"/>
      <c r="AX1335" s="420"/>
      <c r="AY1335" s="420"/>
      <c r="AZ1335" s="420"/>
      <c r="BA1335" s="420"/>
      <c r="BB1335" s="420"/>
      <c r="BC1335" s="420"/>
      <c r="BD1335" s="420"/>
      <c r="BE1335" s="420"/>
      <c r="BF1335" s="420"/>
      <c r="BG1335" s="420"/>
      <c r="BH1335" s="420"/>
      <c r="BI1335" s="420"/>
      <c r="BJ1335" s="420"/>
      <c r="BK1335" s="420"/>
      <c r="BL1335" s="420"/>
      <c r="BM1335" s="420"/>
      <c r="BN1335" s="420"/>
      <c r="BO1335" s="420"/>
      <c r="BP1335" s="420"/>
      <c r="BQ1335" s="420"/>
      <c r="BR1335" s="420"/>
      <c r="BS1335" s="420"/>
      <c r="BT1335" s="420"/>
      <c r="BU1335" s="420"/>
      <c r="BV1335" s="420"/>
      <c r="BW1335" s="420"/>
      <c r="BX1335" s="420"/>
      <c r="BY1335" s="420"/>
      <c r="BZ1335" s="420"/>
      <c r="CA1335" s="420"/>
      <c r="CB1335" s="420"/>
      <c r="CC1335" s="420"/>
      <c r="CD1335" s="420"/>
      <c r="CE1335" s="420"/>
      <c r="CF1335" s="420"/>
      <c r="CG1335" s="420"/>
      <c r="CH1335" s="420"/>
      <c r="CI1335" s="420"/>
      <c r="CJ1335" s="420"/>
      <c r="CK1335" s="420"/>
      <c r="CL1335" s="420"/>
      <c r="CM1335" s="420"/>
      <c r="CN1335" s="420"/>
      <c r="CO1335" s="420"/>
      <c r="CP1335" s="420"/>
      <c r="CQ1335" s="420"/>
      <c r="CR1335" s="420"/>
      <c r="CS1335" s="420"/>
      <c r="CT1335" s="420"/>
      <c r="CU1335" s="420"/>
      <c r="CV1335" s="420"/>
      <c r="CW1335" s="420"/>
      <c r="CX1335" s="420"/>
      <c r="CY1335" s="420"/>
      <c r="CZ1335" s="420"/>
      <c r="DA1335" s="420"/>
      <c r="DB1335" s="420"/>
      <c r="DC1335" s="420"/>
      <c r="DD1335" s="420"/>
      <c r="DE1335" s="420"/>
      <c r="DF1335" s="420"/>
      <c r="DG1335" s="420"/>
      <c r="DH1335" s="420"/>
      <c r="DI1335" s="420"/>
      <c r="DJ1335" s="420"/>
      <c r="DK1335" s="420"/>
      <c r="DL1335" s="420"/>
      <c r="DM1335" s="420"/>
      <c r="DN1335" s="420"/>
      <c r="DO1335" s="420"/>
      <c r="DP1335" s="420"/>
      <c r="DQ1335" s="420"/>
      <c r="DR1335" s="420"/>
      <c r="DS1335" s="420"/>
      <c r="DT1335" s="420"/>
      <c r="DU1335" s="420"/>
      <c r="DV1335" s="420"/>
      <c r="DW1335" s="420"/>
      <c r="DX1335" s="420"/>
      <c r="DY1335" s="420"/>
      <c r="DZ1335" s="420"/>
      <c r="EA1335" s="420"/>
      <c r="EB1335" s="420"/>
      <c r="EC1335" s="420"/>
      <c r="ED1335" s="420"/>
      <c r="EE1335" s="420"/>
      <c r="EF1335" s="420"/>
      <c r="EG1335" s="420"/>
      <c r="EH1335" s="420"/>
      <c r="EI1335" s="420"/>
      <c r="EJ1335" s="420"/>
      <c r="EK1335" s="420"/>
      <c r="EL1335" s="420"/>
      <c r="EM1335" s="420"/>
      <c r="EN1335" s="420"/>
      <c r="EO1335" s="420"/>
      <c r="EP1335" s="420"/>
      <c r="EQ1335" s="420"/>
      <c r="ER1335" s="420"/>
      <c r="ES1335" s="420"/>
      <c r="ET1335" s="420"/>
      <c r="EU1335" s="420"/>
      <c r="EV1335" s="420"/>
      <c r="EW1335" s="420"/>
      <c r="EX1335" s="420"/>
      <c r="EY1335" s="420"/>
      <c r="EZ1335" s="420"/>
      <c r="FA1335" s="420"/>
      <c r="FB1335" s="420"/>
      <c r="FC1335" s="420"/>
      <c r="FD1335" s="420"/>
      <c r="FE1335" s="420"/>
      <c r="FF1335" s="420"/>
      <c r="FG1335" s="420"/>
      <c r="FH1335" s="420"/>
      <c r="FI1335" s="420"/>
      <c r="FJ1335" s="420"/>
      <c r="FK1335" s="420"/>
      <c r="FL1335" s="420"/>
      <c r="FM1335" s="420"/>
      <c r="FN1335" s="420"/>
      <c r="FO1335" s="420"/>
      <c r="FP1335" s="420"/>
      <c r="FQ1335" s="420"/>
      <c r="FR1335" s="420"/>
      <c r="FS1335" s="420"/>
      <c r="FT1335" s="420"/>
      <c r="FU1335" s="420"/>
      <c r="FV1335" s="420"/>
      <c r="FW1335" s="420"/>
      <c r="FX1335" s="420"/>
      <c r="FY1335" s="420"/>
    </row>
    <row r="1336" spans="1:181" s="421" customFormat="1" ht="44.25" customHeight="1">
      <c r="A1336" s="918" t="s">
        <v>985</v>
      </c>
      <c r="B1336" s="919" t="s">
        <v>986</v>
      </c>
      <c r="C1336" s="920" t="s">
        <v>350</v>
      </c>
      <c r="D1336" s="921">
        <v>80</v>
      </c>
      <c r="E1336" s="922"/>
      <c r="F1336" s="380">
        <f>D1336*E1336</f>
        <v>0</v>
      </c>
      <c r="G1336" s="420"/>
      <c r="H1336" s="420"/>
      <c r="I1336" s="420"/>
      <c r="J1336" s="420"/>
      <c r="K1336" s="420"/>
      <c r="L1336" s="420"/>
      <c r="M1336" s="420"/>
      <c r="N1336" s="640">
        <f>E1336*1.2</f>
        <v>0</v>
      </c>
      <c r="O1336" s="640">
        <f>N1336*D1336</f>
        <v>0</v>
      </c>
      <c r="P1336" s="420"/>
      <c r="Q1336" s="420"/>
      <c r="R1336" s="420"/>
      <c r="S1336" s="420"/>
      <c r="T1336" s="420"/>
      <c r="U1336" s="420"/>
      <c r="V1336" s="420"/>
      <c r="W1336" s="420"/>
      <c r="X1336" s="420"/>
      <c r="Y1336" s="420"/>
      <c r="Z1336" s="420"/>
      <c r="AA1336" s="420"/>
      <c r="AB1336" s="420"/>
      <c r="AC1336" s="420"/>
      <c r="AD1336" s="420"/>
      <c r="AE1336" s="420"/>
      <c r="AF1336" s="420"/>
      <c r="AG1336" s="420"/>
      <c r="AH1336" s="420"/>
      <c r="AI1336" s="420"/>
      <c r="AJ1336" s="420"/>
      <c r="AK1336" s="420"/>
      <c r="AL1336" s="420"/>
      <c r="AM1336" s="420"/>
      <c r="AN1336" s="420"/>
      <c r="AO1336" s="420"/>
      <c r="AP1336" s="420"/>
      <c r="AQ1336" s="420"/>
      <c r="AR1336" s="420"/>
      <c r="AS1336" s="420"/>
      <c r="AT1336" s="420"/>
      <c r="AU1336" s="420"/>
      <c r="AV1336" s="420"/>
      <c r="AW1336" s="420"/>
      <c r="AX1336" s="420"/>
      <c r="AY1336" s="420"/>
      <c r="AZ1336" s="420"/>
      <c r="BA1336" s="420"/>
      <c r="BB1336" s="420"/>
      <c r="BC1336" s="420"/>
      <c r="BD1336" s="420"/>
      <c r="BE1336" s="420"/>
      <c r="BF1336" s="420"/>
      <c r="BG1336" s="420"/>
      <c r="BH1336" s="420"/>
      <c r="BI1336" s="420"/>
      <c r="BJ1336" s="420"/>
      <c r="BK1336" s="420"/>
      <c r="BL1336" s="420"/>
      <c r="BM1336" s="420"/>
      <c r="BN1336" s="420"/>
      <c r="BO1336" s="420"/>
      <c r="BP1336" s="420"/>
      <c r="BQ1336" s="420"/>
      <c r="BR1336" s="420"/>
      <c r="BS1336" s="420"/>
      <c r="BT1336" s="420"/>
      <c r="BU1336" s="420"/>
      <c r="BV1336" s="420"/>
      <c r="BW1336" s="420"/>
      <c r="BX1336" s="420"/>
      <c r="BY1336" s="420"/>
      <c r="BZ1336" s="420"/>
      <c r="CA1336" s="420"/>
      <c r="CB1336" s="420"/>
      <c r="CC1336" s="420"/>
      <c r="CD1336" s="420"/>
      <c r="CE1336" s="420"/>
      <c r="CF1336" s="420"/>
      <c r="CG1336" s="420"/>
      <c r="CH1336" s="420"/>
      <c r="CI1336" s="420"/>
      <c r="CJ1336" s="420"/>
      <c r="CK1336" s="420"/>
      <c r="CL1336" s="420"/>
      <c r="CM1336" s="420"/>
      <c r="CN1336" s="420"/>
      <c r="CO1336" s="420"/>
      <c r="CP1336" s="420"/>
      <c r="CQ1336" s="420"/>
      <c r="CR1336" s="420"/>
      <c r="CS1336" s="420"/>
      <c r="CT1336" s="420"/>
      <c r="CU1336" s="420"/>
      <c r="CV1336" s="420"/>
      <c r="CW1336" s="420"/>
      <c r="CX1336" s="420"/>
      <c r="CY1336" s="420"/>
      <c r="CZ1336" s="420"/>
      <c r="DA1336" s="420"/>
      <c r="DB1336" s="420"/>
      <c r="DC1336" s="420"/>
      <c r="DD1336" s="420"/>
      <c r="DE1336" s="420"/>
      <c r="DF1336" s="420"/>
      <c r="DG1336" s="420"/>
      <c r="DH1336" s="420"/>
      <c r="DI1336" s="420"/>
      <c r="DJ1336" s="420"/>
      <c r="DK1336" s="420"/>
      <c r="DL1336" s="420"/>
      <c r="DM1336" s="420"/>
      <c r="DN1336" s="420"/>
      <c r="DO1336" s="420"/>
      <c r="DP1336" s="420"/>
      <c r="DQ1336" s="420"/>
      <c r="DR1336" s="420"/>
      <c r="DS1336" s="420"/>
      <c r="DT1336" s="420"/>
      <c r="DU1336" s="420"/>
      <c r="DV1336" s="420"/>
      <c r="DW1336" s="420"/>
      <c r="DX1336" s="420"/>
      <c r="DY1336" s="420"/>
      <c r="DZ1336" s="420"/>
      <c r="EA1336" s="420"/>
      <c r="EB1336" s="420"/>
      <c r="EC1336" s="420"/>
      <c r="ED1336" s="420"/>
      <c r="EE1336" s="420"/>
      <c r="EF1336" s="420"/>
      <c r="EG1336" s="420"/>
      <c r="EH1336" s="420"/>
      <c r="EI1336" s="420"/>
      <c r="EJ1336" s="420"/>
      <c r="EK1336" s="420"/>
      <c r="EL1336" s="420"/>
      <c r="EM1336" s="420"/>
      <c r="EN1336" s="420"/>
      <c r="EO1336" s="420"/>
      <c r="EP1336" s="420"/>
      <c r="EQ1336" s="420"/>
      <c r="ER1336" s="420"/>
      <c r="ES1336" s="420"/>
      <c r="ET1336" s="420"/>
      <c r="EU1336" s="420"/>
      <c r="EV1336" s="420"/>
      <c r="EW1336" s="420"/>
      <c r="EX1336" s="420"/>
      <c r="EY1336" s="420"/>
      <c r="EZ1336" s="420"/>
      <c r="FA1336" s="420"/>
      <c r="FB1336" s="420"/>
      <c r="FC1336" s="420"/>
      <c r="FD1336" s="420"/>
      <c r="FE1336" s="420"/>
      <c r="FF1336" s="420"/>
      <c r="FG1336" s="420"/>
      <c r="FH1336" s="420"/>
      <c r="FI1336" s="420"/>
      <c r="FJ1336" s="420"/>
      <c r="FK1336" s="420"/>
      <c r="FL1336" s="420"/>
      <c r="FM1336" s="420"/>
      <c r="FN1336" s="420"/>
      <c r="FO1336" s="420"/>
      <c r="FP1336" s="420"/>
      <c r="FQ1336" s="420"/>
      <c r="FR1336" s="420"/>
      <c r="FS1336" s="420"/>
      <c r="FT1336" s="420"/>
      <c r="FU1336" s="420"/>
      <c r="FV1336" s="420"/>
      <c r="FW1336" s="420"/>
      <c r="FX1336" s="420"/>
      <c r="FY1336" s="420"/>
    </row>
    <row r="1337" spans="1:181" s="421" customFormat="1" ht="19.5" customHeight="1">
      <c r="A1337" s="918" t="s">
        <v>987</v>
      </c>
      <c r="B1337" s="919" t="s">
        <v>988</v>
      </c>
      <c r="C1337" s="920" t="s">
        <v>350</v>
      </c>
      <c r="D1337" s="921">
        <v>160</v>
      </c>
      <c r="E1337" s="922"/>
      <c r="F1337" s="380">
        <f>D1337*E1337</f>
        <v>0</v>
      </c>
      <c r="G1337" s="420"/>
      <c r="H1337" s="420"/>
      <c r="I1337" s="420"/>
      <c r="J1337" s="420"/>
      <c r="K1337" s="420"/>
      <c r="L1337" s="420"/>
      <c r="M1337" s="420"/>
      <c r="N1337" s="640">
        <f>E1337*1.2</f>
        <v>0</v>
      </c>
      <c r="O1337" s="640">
        <f>N1337*D1337</f>
        <v>0</v>
      </c>
      <c r="P1337" s="420"/>
      <c r="Q1337" s="420"/>
      <c r="R1337" s="420"/>
      <c r="S1337" s="420"/>
      <c r="T1337" s="420"/>
      <c r="U1337" s="420"/>
      <c r="V1337" s="420"/>
      <c r="W1337" s="420"/>
      <c r="X1337" s="420"/>
      <c r="Y1337" s="420"/>
      <c r="Z1337" s="420"/>
      <c r="AA1337" s="420"/>
      <c r="AB1337" s="420"/>
      <c r="AC1337" s="420"/>
      <c r="AD1337" s="420"/>
      <c r="AE1337" s="420"/>
      <c r="AF1337" s="420"/>
      <c r="AG1337" s="420"/>
      <c r="AH1337" s="420"/>
      <c r="AI1337" s="420"/>
      <c r="AJ1337" s="420"/>
      <c r="AK1337" s="420"/>
      <c r="AL1337" s="420"/>
      <c r="AM1337" s="420"/>
      <c r="AN1337" s="420"/>
      <c r="AO1337" s="420"/>
      <c r="AP1337" s="420"/>
      <c r="AQ1337" s="420"/>
      <c r="AR1337" s="420"/>
      <c r="AS1337" s="420"/>
      <c r="AT1337" s="420"/>
      <c r="AU1337" s="420"/>
      <c r="AV1337" s="420"/>
      <c r="AW1337" s="420"/>
      <c r="AX1337" s="420"/>
      <c r="AY1337" s="420"/>
      <c r="AZ1337" s="420"/>
      <c r="BA1337" s="420"/>
      <c r="BB1337" s="420"/>
      <c r="BC1337" s="420"/>
      <c r="BD1337" s="420"/>
      <c r="BE1337" s="420"/>
      <c r="BF1337" s="420"/>
      <c r="BG1337" s="420"/>
      <c r="BH1337" s="420"/>
      <c r="BI1337" s="420"/>
      <c r="BJ1337" s="420"/>
      <c r="BK1337" s="420"/>
      <c r="BL1337" s="420"/>
      <c r="BM1337" s="420"/>
      <c r="BN1337" s="420"/>
      <c r="BO1337" s="420"/>
      <c r="BP1337" s="420"/>
      <c r="BQ1337" s="420"/>
      <c r="BR1337" s="420"/>
      <c r="BS1337" s="420"/>
      <c r="BT1337" s="420"/>
      <c r="BU1337" s="420"/>
      <c r="BV1337" s="420"/>
      <c r="BW1337" s="420"/>
      <c r="BX1337" s="420"/>
      <c r="BY1337" s="420"/>
      <c r="BZ1337" s="420"/>
      <c r="CA1337" s="420"/>
      <c r="CB1337" s="420"/>
      <c r="CC1337" s="420"/>
      <c r="CD1337" s="420"/>
      <c r="CE1337" s="420"/>
      <c r="CF1337" s="420"/>
      <c r="CG1337" s="420"/>
      <c r="CH1337" s="420"/>
      <c r="CI1337" s="420"/>
      <c r="CJ1337" s="420"/>
      <c r="CK1337" s="420"/>
      <c r="CL1337" s="420"/>
      <c r="CM1337" s="420"/>
      <c r="CN1337" s="420"/>
      <c r="CO1337" s="420"/>
      <c r="CP1337" s="420"/>
      <c r="CQ1337" s="420"/>
      <c r="CR1337" s="420"/>
      <c r="CS1337" s="420"/>
      <c r="CT1337" s="420"/>
      <c r="CU1337" s="420"/>
      <c r="CV1337" s="420"/>
      <c r="CW1337" s="420"/>
      <c r="CX1337" s="420"/>
      <c r="CY1337" s="420"/>
      <c r="CZ1337" s="420"/>
      <c r="DA1337" s="420"/>
      <c r="DB1337" s="420"/>
      <c r="DC1337" s="420"/>
      <c r="DD1337" s="420"/>
      <c r="DE1337" s="420"/>
      <c r="DF1337" s="420"/>
      <c r="DG1337" s="420"/>
      <c r="DH1337" s="420"/>
      <c r="DI1337" s="420"/>
      <c r="DJ1337" s="420"/>
      <c r="DK1337" s="420"/>
      <c r="DL1337" s="420"/>
      <c r="DM1337" s="420"/>
      <c r="DN1337" s="420"/>
      <c r="DO1337" s="420"/>
      <c r="DP1337" s="420"/>
      <c r="DQ1337" s="420"/>
      <c r="DR1337" s="420"/>
      <c r="DS1337" s="420"/>
      <c r="DT1337" s="420"/>
      <c r="DU1337" s="420"/>
      <c r="DV1337" s="420"/>
      <c r="DW1337" s="420"/>
      <c r="DX1337" s="420"/>
      <c r="DY1337" s="420"/>
      <c r="DZ1337" s="420"/>
      <c r="EA1337" s="420"/>
      <c r="EB1337" s="420"/>
      <c r="EC1337" s="420"/>
      <c r="ED1337" s="420"/>
      <c r="EE1337" s="420"/>
      <c r="EF1337" s="420"/>
      <c r="EG1337" s="420"/>
      <c r="EH1337" s="420"/>
      <c r="EI1337" s="420"/>
      <c r="EJ1337" s="420"/>
      <c r="EK1337" s="420"/>
      <c r="EL1337" s="420"/>
      <c r="EM1337" s="420"/>
      <c r="EN1337" s="420"/>
      <c r="EO1337" s="420"/>
      <c r="EP1337" s="420"/>
      <c r="EQ1337" s="420"/>
      <c r="ER1337" s="420"/>
      <c r="ES1337" s="420"/>
      <c r="ET1337" s="420"/>
      <c r="EU1337" s="420"/>
      <c r="EV1337" s="420"/>
      <c r="EW1337" s="420"/>
      <c r="EX1337" s="420"/>
      <c r="EY1337" s="420"/>
      <c r="EZ1337" s="420"/>
      <c r="FA1337" s="420"/>
      <c r="FB1337" s="420"/>
      <c r="FC1337" s="420"/>
      <c r="FD1337" s="420"/>
      <c r="FE1337" s="420"/>
      <c r="FF1337" s="420"/>
      <c r="FG1337" s="420"/>
      <c r="FH1337" s="420"/>
      <c r="FI1337" s="420"/>
      <c r="FJ1337" s="420"/>
      <c r="FK1337" s="420"/>
      <c r="FL1337" s="420"/>
      <c r="FM1337" s="420"/>
      <c r="FN1337" s="420"/>
      <c r="FO1337" s="420"/>
      <c r="FP1337" s="420"/>
      <c r="FQ1337" s="420"/>
      <c r="FR1337" s="420"/>
      <c r="FS1337" s="420"/>
      <c r="FT1337" s="420"/>
      <c r="FU1337" s="420"/>
      <c r="FV1337" s="420"/>
      <c r="FW1337" s="420"/>
      <c r="FX1337" s="420"/>
      <c r="FY1337" s="420"/>
    </row>
    <row r="1338" spans="1:181" s="421" customFormat="1" ht="19.5" customHeight="1">
      <c r="A1338" s="918" t="s">
        <v>989</v>
      </c>
      <c r="B1338" s="919" t="s">
        <v>990</v>
      </c>
      <c r="C1338" s="920" t="s">
        <v>350</v>
      </c>
      <c r="D1338" s="921">
        <v>10</v>
      </c>
      <c r="E1338" s="922"/>
      <c r="F1338" s="380">
        <f>D1338*E1338</f>
        <v>0</v>
      </c>
      <c r="G1338" s="420"/>
      <c r="H1338" s="420"/>
      <c r="I1338" s="420"/>
      <c r="J1338" s="420"/>
      <c r="K1338" s="420"/>
      <c r="L1338" s="420"/>
      <c r="M1338" s="420"/>
      <c r="N1338" s="640">
        <f>E1338*1.2</f>
        <v>0</v>
      </c>
      <c r="O1338" s="640">
        <f>N1338*D1338</f>
        <v>0</v>
      </c>
      <c r="P1338" s="420"/>
      <c r="Q1338" s="420"/>
      <c r="R1338" s="420"/>
      <c r="S1338" s="420"/>
      <c r="T1338" s="420"/>
      <c r="U1338" s="420"/>
      <c r="V1338" s="420"/>
      <c r="W1338" s="420"/>
      <c r="X1338" s="420"/>
      <c r="Y1338" s="420"/>
      <c r="Z1338" s="420"/>
      <c r="AA1338" s="420"/>
      <c r="AB1338" s="420"/>
      <c r="AC1338" s="420"/>
      <c r="AD1338" s="420"/>
      <c r="AE1338" s="420"/>
      <c r="AF1338" s="420"/>
      <c r="AG1338" s="420"/>
      <c r="AH1338" s="420"/>
      <c r="AI1338" s="420"/>
      <c r="AJ1338" s="420"/>
      <c r="AK1338" s="420"/>
      <c r="AL1338" s="420"/>
      <c r="AM1338" s="420"/>
      <c r="AN1338" s="420"/>
      <c r="AO1338" s="420"/>
      <c r="AP1338" s="420"/>
      <c r="AQ1338" s="420"/>
      <c r="AR1338" s="420"/>
      <c r="AS1338" s="420"/>
      <c r="AT1338" s="420"/>
      <c r="AU1338" s="420"/>
      <c r="AV1338" s="420"/>
      <c r="AW1338" s="420"/>
      <c r="AX1338" s="420"/>
      <c r="AY1338" s="420"/>
      <c r="AZ1338" s="420"/>
      <c r="BA1338" s="420"/>
      <c r="BB1338" s="420"/>
      <c r="BC1338" s="420"/>
      <c r="BD1338" s="420"/>
      <c r="BE1338" s="420"/>
      <c r="BF1338" s="420"/>
      <c r="BG1338" s="420"/>
      <c r="BH1338" s="420"/>
      <c r="BI1338" s="420"/>
      <c r="BJ1338" s="420"/>
      <c r="BK1338" s="420"/>
      <c r="BL1338" s="420"/>
      <c r="BM1338" s="420"/>
      <c r="BN1338" s="420"/>
      <c r="BO1338" s="420"/>
      <c r="BP1338" s="420"/>
      <c r="BQ1338" s="420"/>
      <c r="BR1338" s="420"/>
      <c r="BS1338" s="420"/>
      <c r="BT1338" s="420"/>
      <c r="BU1338" s="420"/>
      <c r="BV1338" s="420"/>
      <c r="BW1338" s="420"/>
      <c r="BX1338" s="420"/>
      <c r="BY1338" s="420"/>
      <c r="BZ1338" s="420"/>
      <c r="CA1338" s="420"/>
      <c r="CB1338" s="420"/>
      <c r="CC1338" s="420"/>
      <c r="CD1338" s="420"/>
      <c r="CE1338" s="420"/>
      <c r="CF1338" s="420"/>
      <c r="CG1338" s="420"/>
      <c r="CH1338" s="420"/>
      <c r="CI1338" s="420"/>
      <c r="CJ1338" s="420"/>
      <c r="CK1338" s="420"/>
      <c r="CL1338" s="420"/>
      <c r="CM1338" s="420"/>
      <c r="CN1338" s="420"/>
      <c r="CO1338" s="420"/>
      <c r="CP1338" s="420"/>
      <c r="CQ1338" s="420"/>
      <c r="CR1338" s="420"/>
      <c r="CS1338" s="420"/>
      <c r="CT1338" s="420"/>
      <c r="CU1338" s="420"/>
      <c r="CV1338" s="420"/>
      <c r="CW1338" s="420"/>
      <c r="CX1338" s="420"/>
      <c r="CY1338" s="420"/>
      <c r="CZ1338" s="420"/>
      <c r="DA1338" s="420"/>
      <c r="DB1338" s="420"/>
      <c r="DC1338" s="420"/>
      <c r="DD1338" s="420"/>
      <c r="DE1338" s="420"/>
      <c r="DF1338" s="420"/>
      <c r="DG1338" s="420"/>
      <c r="DH1338" s="420"/>
      <c r="DI1338" s="420"/>
      <c r="DJ1338" s="420"/>
      <c r="DK1338" s="420"/>
      <c r="DL1338" s="420"/>
      <c r="DM1338" s="420"/>
      <c r="DN1338" s="420"/>
      <c r="DO1338" s="420"/>
      <c r="DP1338" s="420"/>
      <c r="DQ1338" s="420"/>
      <c r="DR1338" s="420"/>
      <c r="DS1338" s="420"/>
      <c r="DT1338" s="420"/>
      <c r="DU1338" s="420"/>
      <c r="DV1338" s="420"/>
      <c r="DW1338" s="420"/>
      <c r="DX1338" s="420"/>
      <c r="DY1338" s="420"/>
      <c r="DZ1338" s="420"/>
      <c r="EA1338" s="420"/>
      <c r="EB1338" s="420"/>
      <c r="EC1338" s="420"/>
      <c r="ED1338" s="420"/>
      <c r="EE1338" s="420"/>
      <c r="EF1338" s="420"/>
      <c r="EG1338" s="420"/>
      <c r="EH1338" s="420"/>
      <c r="EI1338" s="420"/>
      <c r="EJ1338" s="420"/>
      <c r="EK1338" s="420"/>
      <c r="EL1338" s="420"/>
      <c r="EM1338" s="420"/>
      <c r="EN1338" s="420"/>
      <c r="EO1338" s="420"/>
      <c r="EP1338" s="420"/>
      <c r="EQ1338" s="420"/>
      <c r="ER1338" s="420"/>
      <c r="ES1338" s="420"/>
      <c r="ET1338" s="420"/>
      <c r="EU1338" s="420"/>
      <c r="EV1338" s="420"/>
      <c r="EW1338" s="420"/>
      <c r="EX1338" s="420"/>
      <c r="EY1338" s="420"/>
      <c r="EZ1338" s="420"/>
      <c r="FA1338" s="420"/>
      <c r="FB1338" s="420"/>
      <c r="FC1338" s="420"/>
      <c r="FD1338" s="420"/>
      <c r="FE1338" s="420"/>
      <c r="FF1338" s="420"/>
      <c r="FG1338" s="420"/>
      <c r="FH1338" s="420"/>
      <c r="FI1338" s="420"/>
      <c r="FJ1338" s="420"/>
      <c r="FK1338" s="420"/>
      <c r="FL1338" s="420"/>
      <c r="FM1338" s="420"/>
      <c r="FN1338" s="420"/>
      <c r="FO1338" s="420"/>
      <c r="FP1338" s="420"/>
      <c r="FQ1338" s="420"/>
      <c r="FR1338" s="420"/>
      <c r="FS1338" s="420"/>
      <c r="FT1338" s="420"/>
      <c r="FU1338" s="420"/>
      <c r="FV1338" s="420"/>
      <c r="FW1338" s="420"/>
      <c r="FX1338" s="420"/>
      <c r="FY1338" s="420"/>
    </row>
    <row r="1339" spans="1:181" s="421" customFormat="1" ht="20.25" customHeight="1">
      <c r="A1339" s="954"/>
      <c r="B1339" s="955" t="s">
        <v>933</v>
      </c>
      <c r="C1339" s="956"/>
      <c r="D1339" s="956"/>
      <c r="E1339" s="956"/>
      <c r="F1339" s="380"/>
      <c r="G1339" s="420"/>
      <c r="H1339" s="420"/>
      <c r="I1339" s="420"/>
      <c r="J1339" s="420"/>
      <c r="K1339" s="420"/>
      <c r="L1339" s="420"/>
      <c r="M1339" s="420"/>
      <c r="N1339" s="646"/>
      <c r="O1339" s="646"/>
      <c r="P1339" s="420"/>
      <c r="Q1339" s="420"/>
      <c r="R1339" s="420"/>
      <c r="S1339" s="420"/>
      <c r="T1339" s="420"/>
      <c r="U1339" s="420"/>
      <c r="V1339" s="420"/>
      <c r="W1339" s="420"/>
      <c r="X1339" s="420"/>
      <c r="Y1339" s="420"/>
      <c r="Z1339" s="420"/>
      <c r="AA1339" s="420"/>
      <c r="AB1339" s="420"/>
      <c r="AC1339" s="420"/>
      <c r="AD1339" s="420"/>
      <c r="AE1339" s="420"/>
      <c r="AF1339" s="420"/>
      <c r="AG1339" s="420"/>
      <c r="AH1339" s="420"/>
      <c r="AI1339" s="420"/>
      <c r="AJ1339" s="420"/>
      <c r="AK1339" s="420"/>
      <c r="AL1339" s="420"/>
      <c r="AM1339" s="420"/>
      <c r="AN1339" s="420"/>
      <c r="AO1339" s="420"/>
      <c r="AP1339" s="420"/>
      <c r="AQ1339" s="420"/>
      <c r="AR1339" s="420"/>
      <c r="AS1339" s="420"/>
      <c r="AT1339" s="420"/>
      <c r="AU1339" s="420"/>
      <c r="AV1339" s="420"/>
      <c r="AW1339" s="420"/>
      <c r="AX1339" s="420"/>
      <c r="AY1339" s="420"/>
      <c r="AZ1339" s="420"/>
      <c r="BA1339" s="420"/>
      <c r="BB1339" s="420"/>
      <c r="BC1339" s="420"/>
      <c r="BD1339" s="420"/>
      <c r="BE1339" s="420"/>
      <c r="BF1339" s="420"/>
      <c r="BG1339" s="420"/>
      <c r="BH1339" s="420"/>
      <c r="BI1339" s="420"/>
      <c r="BJ1339" s="420"/>
      <c r="BK1339" s="420"/>
      <c r="BL1339" s="420"/>
      <c r="BM1339" s="420"/>
      <c r="BN1339" s="420"/>
      <c r="BO1339" s="420"/>
      <c r="BP1339" s="420"/>
      <c r="BQ1339" s="420"/>
      <c r="BR1339" s="420"/>
      <c r="BS1339" s="420"/>
      <c r="BT1339" s="420"/>
      <c r="BU1339" s="420"/>
      <c r="BV1339" s="420"/>
      <c r="BW1339" s="420"/>
      <c r="BX1339" s="420"/>
      <c r="BY1339" s="420"/>
      <c r="BZ1339" s="420"/>
      <c r="CA1339" s="420"/>
      <c r="CB1339" s="420"/>
      <c r="CC1339" s="420"/>
      <c r="CD1339" s="420"/>
      <c r="CE1339" s="420"/>
      <c r="CF1339" s="420"/>
      <c r="CG1339" s="420"/>
      <c r="CH1339" s="420"/>
      <c r="CI1339" s="420"/>
      <c r="CJ1339" s="420"/>
      <c r="CK1339" s="420"/>
      <c r="CL1339" s="420"/>
      <c r="CM1339" s="420"/>
      <c r="CN1339" s="420"/>
      <c r="CO1339" s="420"/>
      <c r="CP1339" s="420"/>
      <c r="CQ1339" s="420"/>
      <c r="CR1339" s="420"/>
      <c r="CS1339" s="420"/>
      <c r="CT1339" s="420"/>
      <c r="CU1339" s="420"/>
      <c r="CV1339" s="420"/>
      <c r="CW1339" s="420"/>
      <c r="CX1339" s="420"/>
      <c r="CY1339" s="420"/>
      <c r="CZ1339" s="420"/>
      <c r="DA1339" s="420"/>
      <c r="DB1339" s="420"/>
      <c r="DC1339" s="420"/>
      <c r="DD1339" s="420"/>
      <c r="DE1339" s="420"/>
      <c r="DF1339" s="420"/>
      <c r="DG1339" s="420"/>
      <c r="DH1339" s="420"/>
      <c r="DI1339" s="420"/>
      <c r="DJ1339" s="420"/>
      <c r="DK1339" s="420"/>
      <c r="DL1339" s="420"/>
      <c r="DM1339" s="420"/>
      <c r="DN1339" s="420"/>
      <c r="DO1339" s="420"/>
      <c r="DP1339" s="420"/>
      <c r="DQ1339" s="420"/>
      <c r="DR1339" s="420"/>
      <c r="DS1339" s="420"/>
      <c r="DT1339" s="420"/>
      <c r="DU1339" s="420"/>
      <c r="DV1339" s="420"/>
      <c r="DW1339" s="420"/>
      <c r="DX1339" s="420"/>
      <c r="DY1339" s="420"/>
      <c r="DZ1339" s="420"/>
      <c r="EA1339" s="420"/>
      <c r="EB1339" s="420"/>
      <c r="EC1339" s="420"/>
      <c r="ED1339" s="420"/>
      <c r="EE1339" s="420"/>
      <c r="EF1339" s="420"/>
      <c r="EG1339" s="420"/>
      <c r="EH1339" s="420"/>
      <c r="EI1339" s="420"/>
      <c r="EJ1339" s="420"/>
      <c r="EK1339" s="420"/>
      <c r="EL1339" s="420"/>
      <c r="EM1339" s="420"/>
      <c r="EN1339" s="420"/>
      <c r="EO1339" s="420"/>
      <c r="EP1339" s="420"/>
      <c r="EQ1339" s="420"/>
      <c r="ER1339" s="420"/>
      <c r="ES1339" s="420"/>
      <c r="ET1339" s="420"/>
      <c r="EU1339" s="420"/>
      <c r="EV1339" s="420"/>
      <c r="EW1339" s="420"/>
      <c r="EX1339" s="420"/>
      <c r="EY1339" s="420"/>
      <c r="EZ1339" s="420"/>
      <c r="FA1339" s="420"/>
      <c r="FB1339" s="420"/>
      <c r="FC1339" s="420"/>
      <c r="FD1339" s="420"/>
      <c r="FE1339" s="420"/>
      <c r="FF1339" s="420"/>
      <c r="FG1339" s="420"/>
      <c r="FH1339" s="420"/>
      <c r="FI1339" s="420"/>
      <c r="FJ1339" s="420"/>
      <c r="FK1339" s="420"/>
      <c r="FL1339" s="420"/>
      <c r="FM1339" s="420"/>
      <c r="FN1339" s="420"/>
      <c r="FO1339" s="420"/>
      <c r="FP1339" s="420"/>
      <c r="FQ1339" s="420"/>
      <c r="FR1339" s="420"/>
      <c r="FS1339" s="420"/>
      <c r="FT1339" s="420"/>
      <c r="FU1339" s="420"/>
      <c r="FV1339" s="420"/>
      <c r="FW1339" s="420"/>
      <c r="FX1339" s="420"/>
      <c r="FY1339" s="420"/>
    </row>
    <row r="1340" spans="1:181" s="421" customFormat="1" ht="19.5" customHeight="1">
      <c r="A1340" s="918" t="s">
        <v>991</v>
      </c>
      <c r="B1340" s="927" t="s">
        <v>970</v>
      </c>
      <c r="C1340" s="920" t="s">
        <v>863</v>
      </c>
      <c r="D1340" s="921">
        <v>1</v>
      </c>
      <c r="E1340" s="922"/>
      <c r="F1340" s="380">
        <f>D1340*E1340</f>
        <v>0</v>
      </c>
      <c r="G1340" s="420"/>
      <c r="H1340" s="420"/>
      <c r="I1340" s="420"/>
      <c r="J1340" s="420"/>
      <c r="K1340" s="420"/>
      <c r="L1340" s="420"/>
      <c r="M1340" s="420"/>
      <c r="N1340" s="640">
        <f>E1340*1.2</f>
        <v>0</v>
      </c>
      <c r="O1340" s="640">
        <f>N1340*D1340</f>
        <v>0</v>
      </c>
      <c r="P1340" s="420"/>
      <c r="Q1340" s="420"/>
      <c r="R1340" s="420"/>
      <c r="S1340" s="420"/>
      <c r="T1340" s="420"/>
      <c r="U1340" s="420"/>
      <c r="V1340" s="420"/>
      <c r="W1340" s="420"/>
      <c r="X1340" s="420"/>
      <c r="Y1340" s="420"/>
      <c r="Z1340" s="420"/>
      <c r="AA1340" s="420"/>
      <c r="AB1340" s="420"/>
      <c r="AC1340" s="420"/>
      <c r="AD1340" s="420"/>
      <c r="AE1340" s="420"/>
      <c r="AF1340" s="420"/>
      <c r="AG1340" s="420"/>
      <c r="AH1340" s="420"/>
      <c r="AI1340" s="420"/>
      <c r="AJ1340" s="420"/>
      <c r="AK1340" s="420"/>
      <c r="AL1340" s="420"/>
      <c r="AM1340" s="420"/>
      <c r="AN1340" s="420"/>
      <c r="AO1340" s="420"/>
      <c r="AP1340" s="420"/>
      <c r="AQ1340" s="420"/>
      <c r="AR1340" s="420"/>
      <c r="AS1340" s="420"/>
      <c r="AT1340" s="420"/>
      <c r="AU1340" s="420"/>
      <c r="AV1340" s="420"/>
      <c r="AW1340" s="420"/>
      <c r="AX1340" s="420"/>
      <c r="AY1340" s="420"/>
      <c r="AZ1340" s="420"/>
      <c r="BA1340" s="420"/>
      <c r="BB1340" s="420"/>
      <c r="BC1340" s="420"/>
      <c r="BD1340" s="420"/>
      <c r="BE1340" s="420"/>
      <c r="BF1340" s="420"/>
      <c r="BG1340" s="420"/>
      <c r="BH1340" s="420"/>
      <c r="BI1340" s="420"/>
      <c r="BJ1340" s="420"/>
      <c r="BK1340" s="420"/>
      <c r="BL1340" s="420"/>
      <c r="BM1340" s="420"/>
      <c r="BN1340" s="420"/>
      <c r="BO1340" s="420"/>
      <c r="BP1340" s="420"/>
      <c r="BQ1340" s="420"/>
      <c r="BR1340" s="420"/>
      <c r="BS1340" s="420"/>
      <c r="BT1340" s="420"/>
      <c r="BU1340" s="420"/>
      <c r="BV1340" s="420"/>
      <c r="BW1340" s="420"/>
      <c r="BX1340" s="420"/>
      <c r="BY1340" s="420"/>
      <c r="BZ1340" s="420"/>
      <c r="CA1340" s="420"/>
      <c r="CB1340" s="420"/>
      <c r="CC1340" s="420"/>
      <c r="CD1340" s="420"/>
      <c r="CE1340" s="420"/>
      <c r="CF1340" s="420"/>
      <c r="CG1340" s="420"/>
      <c r="CH1340" s="420"/>
      <c r="CI1340" s="420"/>
      <c r="CJ1340" s="420"/>
      <c r="CK1340" s="420"/>
      <c r="CL1340" s="420"/>
      <c r="CM1340" s="420"/>
      <c r="CN1340" s="420"/>
      <c r="CO1340" s="420"/>
      <c r="CP1340" s="420"/>
      <c r="CQ1340" s="420"/>
      <c r="CR1340" s="420"/>
      <c r="CS1340" s="420"/>
      <c r="CT1340" s="420"/>
      <c r="CU1340" s="420"/>
      <c r="CV1340" s="420"/>
      <c r="CW1340" s="420"/>
      <c r="CX1340" s="420"/>
      <c r="CY1340" s="420"/>
      <c r="CZ1340" s="420"/>
      <c r="DA1340" s="420"/>
      <c r="DB1340" s="420"/>
      <c r="DC1340" s="420"/>
      <c r="DD1340" s="420"/>
      <c r="DE1340" s="420"/>
      <c r="DF1340" s="420"/>
      <c r="DG1340" s="420"/>
      <c r="DH1340" s="420"/>
      <c r="DI1340" s="420"/>
      <c r="DJ1340" s="420"/>
      <c r="DK1340" s="420"/>
      <c r="DL1340" s="420"/>
      <c r="DM1340" s="420"/>
      <c r="DN1340" s="420"/>
      <c r="DO1340" s="420"/>
      <c r="DP1340" s="420"/>
      <c r="DQ1340" s="420"/>
      <c r="DR1340" s="420"/>
      <c r="DS1340" s="420"/>
      <c r="DT1340" s="420"/>
      <c r="DU1340" s="420"/>
      <c r="DV1340" s="420"/>
      <c r="DW1340" s="420"/>
      <c r="DX1340" s="420"/>
      <c r="DY1340" s="420"/>
      <c r="DZ1340" s="420"/>
      <c r="EA1340" s="420"/>
      <c r="EB1340" s="420"/>
      <c r="EC1340" s="420"/>
      <c r="ED1340" s="420"/>
      <c r="EE1340" s="420"/>
      <c r="EF1340" s="420"/>
      <c r="EG1340" s="420"/>
      <c r="EH1340" s="420"/>
      <c r="EI1340" s="420"/>
      <c r="EJ1340" s="420"/>
      <c r="EK1340" s="420"/>
      <c r="EL1340" s="420"/>
      <c r="EM1340" s="420"/>
      <c r="EN1340" s="420"/>
      <c r="EO1340" s="420"/>
      <c r="EP1340" s="420"/>
      <c r="EQ1340" s="420"/>
      <c r="ER1340" s="420"/>
      <c r="ES1340" s="420"/>
      <c r="ET1340" s="420"/>
      <c r="EU1340" s="420"/>
      <c r="EV1340" s="420"/>
      <c r="EW1340" s="420"/>
      <c r="EX1340" s="420"/>
      <c r="EY1340" s="420"/>
      <c r="EZ1340" s="420"/>
      <c r="FA1340" s="420"/>
      <c r="FB1340" s="420"/>
      <c r="FC1340" s="420"/>
      <c r="FD1340" s="420"/>
      <c r="FE1340" s="420"/>
      <c r="FF1340" s="420"/>
      <c r="FG1340" s="420"/>
      <c r="FH1340" s="420"/>
      <c r="FI1340" s="420"/>
      <c r="FJ1340" s="420"/>
      <c r="FK1340" s="420"/>
      <c r="FL1340" s="420"/>
      <c r="FM1340" s="420"/>
      <c r="FN1340" s="420"/>
      <c r="FO1340" s="420"/>
      <c r="FP1340" s="420"/>
      <c r="FQ1340" s="420"/>
      <c r="FR1340" s="420"/>
      <c r="FS1340" s="420"/>
      <c r="FT1340" s="420"/>
      <c r="FU1340" s="420"/>
      <c r="FV1340" s="420"/>
      <c r="FW1340" s="420"/>
      <c r="FX1340" s="420"/>
      <c r="FY1340" s="420"/>
    </row>
    <row r="1341" spans="1:181" s="421" customFormat="1" ht="80.25" customHeight="1">
      <c r="A1341" s="918" t="s">
        <v>992</v>
      </c>
      <c r="B1341" s="927" t="s">
        <v>993</v>
      </c>
      <c r="C1341" s="920" t="s">
        <v>47</v>
      </c>
      <c r="D1341" s="921">
        <v>1</v>
      </c>
      <c r="E1341" s="922"/>
      <c r="F1341" s="380">
        <f>D1341*E1341</f>
        <v>0</v>
      </c>
      <c r="G1341" s="420"/>
      <c r="H1341" s="420"/>
      <c r="I1341" s="420"/>
      <c r="J1341" s="420"/>
      <c r="K1341" s="420"/>
      <c r="L1341" s="420"/>
      <c r="M1341" s="420"/>
      <c r="N1341" s="640">
        <f>E1341*1.2</f>
        <v>0</v>
      </c>
      <c r="O1341" s="640">
        <f>N1341*D1341</f>
        <v>0</v>
      </c>
      <c r="P1341" s="420"/>
      <c r="Q1341" s="420"/>
      <c r="R1341" s="420"/>
      <c r="S1341" s="420"/>
      <c r="T1341" s="420"/>
      <c r="U1341" s="420"/>
      <c r="V1341" s="420"/>
      <c r="W1341" s="420"/>
      <c r="X1341" s="420"/>
      <c r="Y1341" s="420"/>
      <c r="Z1341" s="420"/>
      <c r="AA1341" s="420"/>
      <c r="AB1341" s="420"/>
      <c r="AC1341" s="420"/>
      <c r="AD1341" s="420"/>
      <c r="AE1341" s="420"/>
      <c r="AF1341" s="420"/>
      <c r="AG1341" s="420"/>
      <c r="AH1341" s="420"/>
      <c r="AI1341" s="420"/>
      <c r="AJ1341" s="420"/>
      <c r="AK1341" s="420"/>
      <c r="AL1341" s="420"/>
      <c r="AM1341" s="420"/>
      <c r="AN1341" s="420"/>
      <c r="AO1341" s="420"/>
      <c r="AP1341" s="420"/>
      <c r="AQ1341" s="420"/>
      <c r="AR1341" s="420"/>
      <c r="AS1341" s="420"/>
      <c r="AT1341" s="420"/>
      <c r="AU1341" s="420"/>
      <c r="AV1341" s="420"/>
      <c r="AW1341" s="420"/>
      <c r="AX1341" s="420"/>
      <c r="AY1341" s="420"/>
      <c r="AZ1341" s="420"/>
      <c r="BA1341" s="420"/>
      <c r="BB1341" s="420"/>
      <c r="BC1341" s="420"/>
      <c r="BD1341" s="420"/>
      <c r="BE1341" s="420"/>
      <c r="BF1341" s="420"/>
      <c r="BG1341" s="420"/>
      <c r="BH1341" s="420"/>
      <c r="BI1341" s="420"/>
      <c r="BJ1341" s="420"/>
      <c r="BK1341" s="420"/>
      <c r="BL1341" s="420"/>
      <c r="BM1341" s="420"/>
      <c r="BN1341" s="420"/>
      <c r="BO1341" s="420"/>
      <c r="BP1341" s="420"/>
      <c r="BQ1341" s="420"/>
      <c r="BR1341" s="420"/>
      <c r="BS1341" s="420"/>
      <c r="BT1341" s="420"/>
      <c r="BU1341" s="420"/>
      <c r="BV1341" s="420"/>
      <c r="BW1341" s="420"/>
      <c r="BX1341" s="420"/>
      <c r="BY1341" s="420"/>
      <c r="BZ1341" s="420"/>
      <c r="CA1341" s="420"/>
      <c r="CB1341" s="420"/>
      <c r="CC1341" s="420"/>
      <c r="CD1341" s="420"/>
      <c r="CE1341" s="420"/>
      <c r="CF1341" s="420"/>
      <c r="CG1341" s="420"/>
      <c r="CH1341" s="420"/>
      <c r="CI1341" s="420"/>
      <c r="CJ1341" s="420"/>
      <c r="CK1341" s="420"/>
      <c r="CL1341" s="420"/>
      <c r="CM1341" s="420"/>
      <c r="CN1341" s="420"/>
      <c r="CO1341" s="420"/>
      <c r="CP1341" s="420"/>
      <c r="CQ1341" s="420"/>
      <c r="CR1341" s="420"/>
      <c r="CS1341" s="420"/>
      <c r="CT1341" s="420"/>
      <c r="CU1341" s="420"/>
      <c r="CV1341" s="420"/>
      <c r="CW1341" s="420"/>
      <c r="CX1341" s="420"/>
      <c r="CY1341" s="420"/>
      <c r="CZ1341" s="420"/>
      <c r="DA1341" s="420"/>
      <c r="DB1341" s="420"/>
      <c r="DC1341" s="420"/>
      <c r="DD1341" s="420"/>
      <c r="DE1341" s="420"/>
      <c r="DF1341" s="420"/>
      <c r="DG1341" s="420"/>
      <c r="DH1341" s="420"/>
      <c r="DI1341" s="420"/>
      <c r="DJ1341" s="420"/>
      <c r="DK1341" s="420"/>
      <c r="DL1341" s="420"/>
      <c r="DM1341" s="420"/>
      <c r="DN1341" s="420"/>
      <c r="DO1341" s="420"/>
      <c r="DP1341" s="420"/>
      <c r="DQ1341" s="420"/>
      <c r="DR1341" s="420"/>
      <c r="DS1341" s="420"/>
      <c r="DT1341" s="420"/>
      <c r="DU1341" s="420"/>
      <c r="DV1341" s="420"/>
      <c r="DW1341" s="420"/>
      <c r="DX1341" s="420"/>
      <c r="DY1341" s="420"/>
      <c r="DZ1341" s="420"/>
      <c r="EA1341" s="420"/>
      <c r="EB1341" s="420"/>
      <c r="EC1341" s="420"/>
      <c r="ED1341" s="420"/>
      <c r="EE1341" s="420"/>
      <c r="EF1341" s="420"/>
      <c r="EG1341" s="420"/>
      <c r="EH1341" s="420"/>
      <c r="EI1341" s="420"/>
      <c r="EJ1341" s="420"/>
      <c r="EK1341" s="420"/>
      <c r="EL1341" s="420"/>
      <c r="EM1341" s="420"/>
      <c r="EN1341" s="420"/>
      <c r="EO1341" s="420"/>
      <c r="EP1341" s="420"/>
      <c r="EQ1341" s="420"/>
      <c r="ER1341" s="420"/>
      <c r="ES1341" s="420"/>
      <c r="ET1341" s="420"/>
      <c r="EU1341" s="420"/>
      <c r="EV1341" s="420"/>
      <c r="EW1341" s="420"/>
      <c r="EX1341" s="420"/>
      <c r="EY1341" s="420"/>
      <c r="EZ1341" s="420"/>
      <c r="FA1341" s="420"/>
      <c r="FB1341" s="420"/>
      <c r="FC1341" s="420"/>
      <c r="FD1341" s="420"/>
      <c r="FE1341" s="420"/>
      <c r="FF1341" s="420"/>
      <c r="FG1341" s="420"/>
      <c r="FH1341" s="420"/>
      <c r="FI1341" s="420"/>
      <c r="FJ1341" s="420"/>
      <c r="FK1341" s="420"/>
      <c r="FL1341" s="420"/>
      <c r="FM1341" s="420"/>
      <c r="FN1341" s="420"/>
      <c r="FO1341" s="420"/>
      <c r="FP1341" s="420"/>
      <c r="FQ1341" s="420"/>
      <c r="FR1341" s="420"/>
      <c r="FS1341" s="420"/>
      <c r="FT1341" s="420"/>
      <c r="FU1341" s="420"/>
      <c r="FV1341" s="420"/>
      <c r="FW1341" s="420"/>
      <c r="FX1341" s="420"/>
      <c r="FY1341" s="420"/>
    </row>
    <row r="1342" spans="1:181" s="421" customFormat="1" ht="32.25" customHeight="1">
      <c r="A1342" s="918" t="s">
        <v>994</v>
      </c>
      <c r="B1342" s="927" t="s">
        <v>995</v>
      </c>
      <c r="C1342" s="920" t="s">
        <v>47</v>
      </c>
      <c r="D1342" s="921">
        <v>1</v>
      </c>
      <c r="E1342" s="922"/>
      <c r="F1342" s="380">
        <f>D1342*E1342</f>
        <v>0</v>
      </c>
      <c r="G1342" s="420"/>
      <c r="H1342" s="420"/>
      <c r="I1342" s="420"/>
      <c r="J1342" s="420"/>
      <c r="K1342" s="420"/>
      <c r="L1342" s="420"/>
      <c r="M1342" s="420"/>
      <c r="N1342" s="640">
        <f>E1342*1.2</f>
        <v>0</v>
      </c>
      <c r="O1342" s="640">
        <f>N1342*D1342</f>
        <v>0</v>
      </c>
      <c r="P1342" s="420"/>
      <c r="Q1342" s="420"/>
      <c r="R1342" s="420"/>
      <c r="S1342" s="420"/>
      <c r="T1342" s="420"/>
      <c r="U1342" s="420"/>
      <c r="V1342" s="420"/>
      <c r="W1342" s="420"/>
      <c r="X1342" s="420"/>
      <c r="Y1342" s="420"/>
      <c r="Z1342" s="420"/>
      <c r="AA1342" s="420"/>
      <c r="AB1342" s="420"/>
      <c r="AC1342" s="420"/>
      <c r="AD1342" s="420"/>
      <c r="AE1342" s="420"/>
      <c r="AF1342" s="420"/>
      <c r="AG1342" s="420"/>
      <c r="AH1342" s="420"/>
      <c r="AI1342" s="420"/>
      <c r="AJ1342" s="420"/>
      <c r="AK1342" s="420"/>
      <c r="AL1342" s="420"/>
      <c r="AM1342" s="420"/>
      <c r="AN1342" s="420"/>
      <c r="AO1342" s="420"/>
      <c r="AP1342" s="420"/>
      <c r="AQ1342" s="420"/>
      <c r="AR1342" s="420"/>
      <c r="AS1342" s="420"/>
      <c r="AT1342" s="420"/>
      <c r="AU1342" s="420"/>
      <c r="AV1342" s="420"/>
      <c r="AW1342" s="420"/>
      <c r="AX1342" s="420"/>
      <c r="AY1342" s="420"/>
      <c r="AZ1342" s="420"/>
      <c r="BA1342" s="420"/>
      <c r="BB1342" s="420"/>
      <c r="BC1342" s="420"/>
      <c r="BD1342" s="420"/>
      <c r="BE1342" s="420"/>
      <c r="BF1342" s="420"/>
      <c r="BG1342" s="420"/>
      <c r="BH1342" s="420"/>
      <c r="BI1342" s="420"/>
      <c r="BJ1342" s="420"/>
      <c r="BK1342" s="420"/>
      <c r="BL1342" s="420"/>
      <c r="BM1342" s="420"/>
      <c r="BN1342" s="420"/>
      <c r="BO1342" s="420"/>
      <c r="BP1342" s="420"/>
      <c r="BQ1342" s="420"/>
      <c r="BR1342" s="420"/>
      <c r="BS1342" s="420"/>
      <c r="BT1342" s="420"/>
      <c r="BU1342" s="420"/>
      <c r="BV1342" s="420"/>
      <c r="BW1342" s="420"/>
      <c r="BX1342" s="420"/>
      <c r="BY1342" s="420"/>
      <c r="BZ1342" s="420"/>
      <c r="CA1342" s="420"/>
      <c r="CB1342" s="420"/>
      <c r="CC1342" s="420"/>
      <c r="CD1342" s="420"/>
      <c r="CE1342" s="420"/>
      <c r="CF1342" s="420"/>
      <c r="CG1342" s="420"/>
      <c r="CH1342" s="420"/>
      <c r="CI1342" s="420"/>
      <c r="CJ1342" s="420"/>
      <c r="CK1342" s="420"/>
      <c r="CL1342" s="420"/>
      <c r="CM1342" s="420"/>
      <c r="CN1342" s="420"/>
      <c r="CO1342" s="420"/>
      <c r="CP1342" s="420"/>
      <c r="CQ1342" s="420"/>
      <c r="CR1342" s="420"/>
      <c r="CS1342" s="420"/>
      <c r="CT1342" s="420"/>
      <c r="CU1342" s="420"/>
      <c r="CV1342" s="420"/>
      <c r="CW1342" s="420"/>
      <c r="CX1342" s="420"/>
      <c r="CY1342" s="420"/>
      <c r="CZ1342" s="420"/>
      <c r="DA1342" s="420"/>
      <c r="DB1342" s="420"/>
      <c r="DC1342" s="420"/>
      <c r="DD1342" s="420"/>
      <c r="DE1342" s="420"/>
      <c r="DF1342" s="420"/>
      <c r="DG1342" s="420"/>
      <c r="DH1342" s="420"/>
      <c r="DI1342" s="420"/>
      <c r="DJ1342" s="420"/>
      <c r="DK1342" s="420"/>
      <c r="DL1342" s="420"/>
      <c r="DM1342" s="420"/>
      <c r="DN1342" s="420"/>
      <c r="DO1342" s="420"/>
      <c r="DP1342" s="420"/>
      <c r="DQ1342" s="420"/>
      <c r="DR1342" s="420"/>
      <c r="DS1342" s="420"/>
      <c r="DT1342" s="420"/>
      <c r="DU1342" s="420"/>
      <c r="DV1342" s="420"/>
      <c r="DW1342" s="420"/>
      <c r="DX1342" s="420"/>
      <c r="DY1342" s="420"/>
      <c r="DZ1342" s="420"/>
      <c r="EA1342" s="420"/>
      <c r="EB1342" s="420"/>
      <c r="EC1342" s="420"/>
      <c r="ED1342" s="420"/>
      <c r="EE1342" s="420"/>
      <c r="EF1342" s="420"/>
      <c r="EG1342" s="420"/>
      <c r="EH1342" s="420"/>
      <c r="EI1342" s="420"/>
      <c r="EJ1342" s="420"/>
      <c r="EK1342" s="420"/>
      <c r="EL1342" s="420"/>
      <c r="EM1342" s="420"/>
      <c r="EN1342" s="420"/>
      <c r="EO1342" s="420"/>
      <c r="EP1342" s="420"/>
      <c r="EQ1342" s="420"/>
      <c r="ER1342" s="420"/>
      <c r="ES1342" s="420"/>
      <c r="ET1342" s="420"/>
      <c r="EU1342" s="420"/>
      <c r="EV1342" s="420"/>
      <c r="EW1342" s="420"/>
      <c r="EX1342" s="420"/>
      <c r="EY1342" s="420"/>
      <c r="EZ1342" s="420"/>
      <c r="FA1342" s="420"/>
      <c r="FB1342" s="420"/>
      <c r="FC1342" s="420"/>
      <c r="FD1342" s="420"/>
      <c r="FE1342" s="420"/>
      <c r="FF1342" s="420"/>
      <c r="FG1342" s="420"/>
      <c r="FH1342" s="420"/>
      <c r="FI1342" s="420"/>
      <c r="FJ1342" s="420"/>
      <c r="FK1342" s="420"/>
      <c r="FL1342" s="420"/>
      <c r="FM1342" s="420"/>
      <c r="FN1342" s="420"/>
      <c r="FO1342" s="420"/>
      <c r="FP1342" s="420"/>
      <c r="FQ1342" s="420"/>
      <c r="FR1342" s="420"/>
      <c r="FS1342" s="420"/>
      <c r="FT1342" s="420"/>
      <c r="FU1342" s="420"/>
      <c r="FV1342" s="420"/>
      <c r="FW1342" s="420"/>
      <c r="FX1342" s="420"/>
      <c r="FY1342" s="420"/>
    </row>
    <row r="1343" spans="1:256" s="431" customFormat="1" ht="15.75" customHeight="1">
      <c r="A1343" s="978"/>
      <c r="B1343" s="927"/>
      <c r="C1343" s="975"/>
      <c r="D1343" s="979">
        <v>0</v>
      </c>
      <c r="E1343" s="980"/>
      <c r="F1343" s="981"/>
      <c r="N1343" s="641"/>
      <c r="O1343" s="641"/>
      <c r="FZ1343" s="432"/>
      <c r="GA1343" s="432"/>
      <c r="GB1343" s="432"/>
      <c r="GC1343" s="432"/>
      <c r="GD1343" s="432"/>
      <c r="GE1343" s="432"/>
      <c r="GF1343" s="432"/>
      <c r="GG1343" s="432"/>
      <c r="GH1343" s="432"/>
      <c r="GI1343" s="432"/>
      <c r="GJ1343" s="432"/>
      <c r="GK1343" s="432"/>
      <c r="GL1343" s="432"/>
      <c r="GM1343" s="432"/>
      <c r="GN1343" s="432"/>
      <c r="GO1343" s="432"/>
      <c r="GP1343" s="432"/>
      <c r="GQ1343" s="432"/>
      <c r="GR1343" s="432"/>
      <c r="GS1343" s="432"/>
      <c r="GT1343" s="432"/>
      <c r="GU1343" s="432"/>
      <c r="GV1343" s="432"/>
      <c r="GW1343" s="432"/>
      <c r="GX1343" s="432"/>
      <c r="GY1343" s="432"/>
      <c r="GZ1343" s="432"/>
      <c r="HA1343" s="432"/>
      <c r="HB1343" s="432"/>
      <c r="HC1343" s="432"/>
      <c r="HD1343" s="432"/>
      <c r="HE1343" s="432"/>
      <c r="HF1343" s="432"/>
      <c r="HG1343" s="432"/>
      <c r="HH1343" s="432"/>
      <c r="HI1343" s="432"/>
      <c r="HJ1343" s="432"/>
      <c r="HK1343" s="432"/>
      <c r="HL1343" s="432"/>
      <c r="HM1343" s="432"/>
      <c r="HN1343" s="432"/>
      <c r="HO1343" s="432"/>
      <c r="HP1343" s="432"/>
      <c r="HQ1343" s="432"/>
      <c r="HR1343" s="432"/>
      <c r="HS1343" s="432"/>
      <c r="HT1343" s="432"/>
      <c r="HU1343" s="432"/>
      <c r="HV1343" s="432"/>
      <c r="HW1343" s="432"/>
      <c r="HX1343" s="432"/>
      <c r="HY1343" s="432"/>
      <c r="HZ1343" s="432"/>
      <c r="IA1343" s="432"/>
      <c r="IB1343" s="432"/>
      <c r="IC1343" s="432"/>
      <c r="ID1343" s="432"/>
      <c r="IE1343" s="432"/>
      <c r="IF1343" s="432"/>
      <c r="IG1343" s="432"/>
      <c r="IH1343" s="432"/>
      <c r="II1343" s="432"/>
      <c r="IJ1343" s="432"/>
      <c r="IK1343" s="432"/>
      <c r="IL1343" s="432"/>
      <c r="IM1343" s="432"/>
      <c r="IN1343" s="432"/>
      <c r="IO1343" s="432"/>
      <c r="IP1343" s="432"/>
      <c r="IQ1343" s="432"/>
      <c r="IR1343" s="432"/>
      <c r="IS1343" s="432"/>
      <c r="IT1343" s="432"/>
      <c r="IU1343" s="432"/>
      <c r="IV1343" s="432"/>
    </row>
    <row r="1344" spans="1:256" s="431" customFormat="1" ht="15.75" customHeight="1">
      <c r="A1344" s="986" t="s">
        <v>735</v>
      </c>
      <c r="B1344" s="960" t="s">
        <v>53</v>
      </c>
      <c r="C1344" s="962"/>
      <c r="D1344" s="962"/>
      <c r="E1344" s="962"/>
      <c r="F1344" s="962">
        <f>SUM(F1329:F1342)</f>
        <v>0</v>
      </c>
      <c r="G1344" s="963"/>
      <c r="H1344" s="963"/>
      <c r="I1344" s="963"/>
      <c r="J1344" s="963"/>
      <c r="K1344" s="963"/>
      <c r="L1344" s="963"/>
      <c r="M1344" s="963"/>
      <c r="N1344" s="906"/>
      <c r="O1344" s="962">
        <f>SUM(O1329:O1342)</f>
        <v>0</v>
      </c>
      <c r="FZ1344" s="432"/>
      <c r="GA1344" s="432"/>
      <c r="GB1344" s="432"/>
      <c r="GC1344" s="432"/>
      <c r="GD1344" s="432"/>
      <c r="GE1344" s="432"/>
      <c r="GF1344" s="432"/>
      <c r="GG1344" s="432"/>
      <c r="GH1344" s="432"/>
      <c r="GI1344" s="432"/>
      <c r="GJ1344" s="432"/>
      <c r="GK1344" s="432"/>
      <c r="GL1344" s="432"/>
      <c r="GM1344" s="432"/>
      <c r="GN1344" s="432"/>
      <c r="GO1344" s="432"/>
      <c r="GP1344" s="432"/>
      <c r="GQ1344" s="432"/>
      <c r="GR1344" s="432"/>
      <c r="GS1344" s="432"/>
      <c r="GT1344" s="432"/>
      <c r="GU1344" s="432"/>
      <c r="GV1344" s="432"/>
      <c r="GW1344" s="432"/>
      <c r="GX1344" s="432"/>
      <c r="GY1344" s="432"/>
      <c r="GZ1344" s="432"/>
      <c r="HA1344" s="432"/>
      <c r="HB1344" s="432"/>
      <c r="HC1344" s="432"/>
      <c r="HD1344" s="432"/>
      <c r="HE1344" s="432"/>
      <c r="HF1344" s="432"/>
      <c r="HG1344" s="432"/>
      <c r="HH1344" s="432"/>
      <c r="HI1344" s="432"/>
      <c r="HJ1344" s="432"/>
      <c r="HK1344" s="432"/>
      <c r="HL1344" s="432"/>
      <c r="HM1344" s="432"/>
      <c r="HN1344" s="432"/>
      <c r="HO1344" s="432"/>
      <c r="HP1344" s="432"/>
      <c r="HQ1344" s="432"/>
      <c r="HR1344" s="432"/>
      <c r="HS1344" s="432"/>
      <c r="HT1344" s="432"/>
      <c r="HU1344" s="432"/>
      <c r="HV1344" s="432"/>
      <c r="HW1344" s="432"/>
      <c r="HX1344" s="432"/>
      <c r="HY1344" s="432"/>
      <c r="HZ1344" s="432"/>
      <c r="IA1344" s="432"/>
      <c r="IB1344" s="432"/>
      <c r="IC1344" s="432"/>
      <c r="ID1344" s="432"/>
      <c r="IE1344" s="432"/>
      <c r="IF1344" s="432"/>
      <c r="IG1344" s="432"/>
      <c r="IH1344" s="432"/>
      <c r="II1344" s="432"/>
      <c r="IJ1344" s="432"/>
      <c r="IK1344" s="432"/>
      <c r="IL1344" s="432"/>
      <c r="IM1344" s="432"/>
      <c r="IN1344" s="432"/>
      <c r="IO1344" s="432"/>
      <c r="IP1344" s="432"/>
      <c r="IQ1344" s="432"/>
      <c r="IR1344" s="432"/>
      <c r="IS1344" s="432"/>
      <c r="IT1344" s="432"/>
      <c r="IU1344" s="432"/>
      <c r="IV1344" s="432"/>
    </row>
    <row r="1345" spans="1:256" s="431" customFormat="1" ht="15.75" customHeight="1">
      <c r="A1345" s="974"/>
      <c r="B1345" s="929"/>
      <c r="C1345" s="931"/>
      <c r="D1345" s="931"/>
      <c r="E1345" s="931"/>
      <c r="F1345" s="931"/>
      <c r="N1345" s="641"/>
      <c r="O1345" s="641"/>
      <c r="FZ1345" s="432"/>
      <c r="GA1345" s="432"/>
      <c r="GB1345" s="432"/>
      <c r="GC1345" s="432"/>
      <c r="GD1345" s="432"/>
      <c r="GE1345" s="432"/>
      <c r="GF1345" s="432"/>
      <c r="GG1345" s="432"/>
      <c r="GH1345" s="432"/>
      <c r="GI1345" s="432"/>
      <c r="GJ1345" s="432"/>
      <c r="GK1345" s="432"/>
      <c r="GL1345" s="432"/>
      <c r="GM1345" s="432"/>
      <c r="GN1345" s="432"/>
      <c r="GO1345" s="432"/>
      <c r="GP1345" s="432"/>
      <c r="GQ1345" s="432"/>
      <c r="GR1345" s="432"/>
      <c r="GS1345" s="432"/>
      <c r="GT1345" s="432"/>
      <c r="GU1345" s="432"/>
      <c r="GV1345" s="432"/>
      <c r="GW1345" s="432"/>
      <c r="GX1345" s="432"/>
      <c r="GY1345" s="432"/>
      <c r="GZ1345" s="432"/>
      <c r="HA1345" s="432"/>
      <c r="HB1345" s="432"/>
      <c r="HC1345" s="432"/>
      <c r="HD1345" s="432"/>
      <c r="HE1345" s="432"/>
      <c r="HF1345" s="432"/>
      <c r="HG1345" s="432"/>
      <c r="HH1345" s="432"/>
      <c r="HI1345" s="432"/>
      <c r="HJ1345" s="432"/>
      <c r="HK1345" s="432"/>
      <c r="HL1345" s="432"/>
      <c r="HM1345" s="432"/>
      <c r="HN1345" s="432"/>
      <c r="HO1345" s="432"/>
      <c r="HP1345" s="432"/>
      <c r="HQ1345" s="432"/>
      <c r="HR1345" s="432"/>
      <c r="HS1345" s="432"/>
      <c r="HT1345" s="432"/>
      <c r="HU1345" s="432"/>
      <c r="HV1345" s="432"/>
      <c r="HW1345" s="432"/>
      <c r="HX1345" s="432"/>
      <c r="HY1345" s="432"/>
      <c r="HZ1345" s="432"/>
      <c r="IA1345" s="432"/>
      <c r="IB1345" s="432"/>
      <c r="IC1345" s="432"/>
      <c r="ID1345" s="432"/>
      <c r="IE1345" s="432"/>
      <c r="IF1345" s="432"/>
      <c r="IG1345" s="432"/>
      <c r="IH1345" s="432"/>
      <c r="II1345" s="432"/>
      <c r="IJ1345" s="432"/>
      <c r="IK1345" s="432"/>
      <c r="IL1345" s="432"/>
      <c r="IM1345" s="432"/>
      <c r="IN1345" s="432"/>
      <c r="IO1345" s="432"/>
      <c r="IP1345" s="432"/>
      <c r="IQ1345" s="432"/>
      <c r="IR1345" s="432"/>
      <c r="IS1345" s="432"/>
      <c r="IT1345" s="432"/>
      <c r="IU1345" s="432"/>
      <c r="IV1345" s="432"/>
    </row>
    <row r="1346" spans="1:256" s="431" customFormat="1" ht="15.75" customHeight="1">
      <c r="A1346" s="974" t="s">
        <v>736</v>
      </c>
      <c r="B1346" s="933" t="s">
        <v>996</v>
      </c>
      <c r="C1346" s="1199"/>
      <c r="D1346" s="1199"/>
      <c r="E1346" s="1199"/>
      <c r="F1346" s="1199"/>
      <c r="N1346" s="641"/>
      <c r="O1346" s="641"/>
      <c r="FZ1346" s="432"/>
      <c r="GA1346" s="432"/>
      <c r="GB1346" s="432"/>
      <c r="GC1346" s="432"/>
      <c r="GD1346" s="432"/>
      <c r="GE1346" s="432"/>
      <c r="GF1346" s="432"/>
      <c r="GG1346" s="432"/>
      <c r="GH1346" s="432"/>
      <c r="GI1346" s="432"/>
      <c r="GJ1346" s="432"/>
      <c r="GK1346" s="432"/>
      <c r="GL1346" s="432"/>
      <c r="GM1346" s="432"/>
      <c r="GN1346" s="432"/>
      <c r="GO1346" s="432"/>
      <c r="GP1346" s="432"/>
      <c r="GQ1346" s="432"/>
      <c r="GR1346" s="432"/>
      <c r="GS1346" s="432"/>
      <c r="GT1346" s="432"/>
      <c r="GU1346" s="432"/>
      <c r="GV1346" s="432"/>
      <c r="GW1346" s="432"/>
      <c r="GX1346" s="432"/>
      <c r="GY1346" s="432"/>
      <c r="GZ1346" s="432"/>
      <c r="HA1346" s="432"/>
      <c r="HB1346" s="432"/>
      <c r="HC1346" s="432"/>
      <c r="HD1346" s="432"/>
      <c r="HE1346" s="432"/>
      <c r="HF1346" s="432"/>
      <c r="HG1346" s="432"/>
      <c r="HH1346" s="432"/>
      <c r="HI1346" s="432"/>
      <c r="HJ1346" s="432"/>
      <c r="HK1346" s="432"/>
      <c r="HL1346" s="432"/>
      <c r="HM1346" s="432"/>
      <c r="HN1346" s="432"/>
      <c r="HO1346" s="432"/>
      <c r="HP1346" s="432"/>
      <c r="HQ1346" s="432"/>
      <c r="HR1346" s="432"/>
      <c r="HS1346" s="432"/>
      <c r="HT1346" s="432"/>
      <c r="HU1346" s="432"/>
      <c r="HV1346" s="432"/>
      <c r="HW1346" s="432"/>
      <c r="HX1346" s="432"/>
      <c r="HY1346" s="432"/>
      <c r="HZ1346" s="432"/>
      <c r="IA1346" s="432"/>
      <c r="IB1346" s="432"/>
      <c r="IC1346" s="432"/>
      <c r="ID1346" s="432"/>
      <c r="IE1346" s="432"/>
      <c r="IF1346" s="432"/>
      <c r="IG1346" s="432"/>
      <c r="IH1346" s="432"/>
      <c r="II1346" s="432"/>
      <c r="IJ1346" s="432"/>
      <c r="IK1346" s="432"/>
      <c r="IL1346" s="432"/>
      <c r="IM1346" s="432"/>
      <c r="IN1346" s="432"/>
      <c r="IO1346" s="432"/>
      <c r="IP1346" s="432"/>
      <c r="IQ1346" s="432"/>
      <c r="IR1346" s="432"/>
      <c r="IS1346" s="432"/>
      <c r="IT1346" s="432"/>
      <c r="IU1346" s="432"/>
      <c r="IV1346" s="432"/>
    </row>
    <row r="1347" spans="1:256" s="431" customFormat="1" ht="30" customHeight="1">
      <c r="A1347" s="630" t="s">
        <v>38</v>
      </c>
      <c r="B1347" s="967" t="s">
        <v>39</v>
      </c>
      <c r="C1347" s="968" t="s">
        <v>40</v>
      </c>
      <c r="D1347" s="968" t="s">
        <v>41</v>
      </c>
      <c r="E1347" s="969" t="s">
        <v>1261</v>
      </c>
      <c r="F1347" s="969" t="s">
        <v>1262</v>
      </c>
      <c r="G1347" s="600"/>
      <c r="H1347" s="601"/>
      <c r="I1347" s="601"/>
      <c r="J1347" s="146"/>
      <c r="K1347" s="146"/>
      <c r="L1347" s="601"/>
      <c r="M1347" s="146"/>
      <c r="N1347" s="631" t="s">
        <v>1264</v>
      </c>
      <c r="O1347" s="631" t="s">
        <v>1263</v>
      </c>
      <c r="FZ1347" s="432"/>
      <c r="GA1347" s="432"/>
      <c r="GB1347" s="432"/>
      <c r="GC1347" s="432"/>
      <c r="GD1347" s="432"/>
      <c r="GE1347" s="432"/>
      <c r="GF1347" s="432"/>
      <c r="GG1347" s="432"/>
      <c r="GH1347" s="432"/>
      <c r="GI1347" s="432"/>
      <c r="GJ1347" s="432"/>
      <c r="GK1347" s="432"/>
      <c r="GL1347" s="432"/>
      <c r="GM1347" s="432"/>
      <c r="GN1347" s="432"/>
      <c r="GO1347" s="432"/>
      <c r="GP1347" s="432"/>
      <c r="GQ1347" s="432"/>
      <c r="GR1347" s="432"/>
      <c r="GS1347" s="432"/>
      <c r="GT1347" s="432"/>
      <c r="GU1347" s="432"/>
      <c r="GV1347" s="432"/>
      <c r="GW1347" s="432"/>
      <c r="GX1347" s="432"/>
      <c r="GY1347" s="432"/>
      <c r="GZ1347" s="432"/>
      <c r="HA1347" s="432"/>
      <c r="HB1347" s="432"/>
      <c r="HC1347" s="432"/>
      <c r="HD1347" s="432"/>
      <c r="HE1347" s="432"/>
      <c r="HF1347" s="432"/>
      <c r="HG1347" s="432"/>
      <c r="HH1347" s="432"/>
      <c r="HI1347" s="432"/>
      <c r="HJ1347" s="432"/>
      <c r="HK1347" s="432"/>
      <c r="HL1347" s="432"/>
      <c r="HM1347" s="432"/>
      <c r="HN1347" s="432"/>
      <c r="HO1347" s="432"/>
      <c r="HP1347" s="432"/>
      <c r="HQ1347" s="432"/>
      <c r="HR1347" s="432"/>
      <c r="HS1347" s="432"/>
      <c r="HT1347" s="432"/>
      <c r="HU1347" s="432"/>
      <c r="HV1347" s="432"/>
      <c r="HW1347" s="432"/>
      <c r="HX1347" s="432"/>
      <c r="HY1347" s="432"/>
      <c r="HZ1347" s="432"/>
      <c r="IA1347" s="432"/>
      <c r="IB1347" s="432"/>
      <c r="IC1347" s="432"/>
      <c r="ID1347" s="432"/>
      <c r="IE1347" s="432"/>
      <c r="IF1347" s="432"/>
      <c r="IG1347" s="432"/>
      <c r="IH1347" s="432"/>
      <c r="II1347" s="432"/>
      <c r="IJ1347" s="432"/>
      <c r="IK1347" s="432"/>
      <c r="IL1347" s="432"/>
      <c r="IM1347" s="432"/>
      <c r="IN1347" s="432"/>
      <c r="IO1347" s="432"/>
      <c r="IP1347" s="432"/>
      <c r="IQ1347" s="432"/>
      <c r="IR1347" s="432"/>
      <c r="IS1347" s="432"/>
      <c r="IT1347" s="432"/>
      <c r="IU1347" s="432"/>
      <c r="IV1347" s="432"/>
    </row>
    <row r="1348" spans="1:256" s="431" customFormat="1" ht="15.75" customHeight="1">
      <c r="A1348" s="976"/>
      <c r="B1348" s="934"/>
      <c r="C1348" s="934"/>
      <c r="D1348" s="935"/>
      <c r="E1348" s="934"/>
      <c r="F1348" s="934"/>
      <c r="N1348" s="641"/>
      <c r="O1348" s="641"/>
      <c r="FZ1348" s="432"/>
      <c r="GA1348" s="432"/>
      <c r="GB1348" s="432"/>
      <c r="GC1348" s="432"/>
      <c r="GD1348" s="432"/>
      <c r="GE1348" s="432"/>
      <c r="GF1348" s="432"/>
      <c r="GG1348" s="432"/>
      <c r="GH1348" s="432"/>
      <c r="GI1348" s="432"/>
      <c r="GJ1348" s="432"/>
      <c r="GK1348" s="432"/>
      <c r="GL1348" s="432"/>
      <c r="GM1348" s="432"/>
      <c r="GN1348" s="432"/>
      <c r="GO1348" s="432"/>
      <c r="GP1348" s="432"/>
      <c r="GQ1348" s="432"/>
      <c r="GR1348" s="432"/>
      <c r="GS1348" s="432"/>
      <c r="GT1348" s="432"/>
      <c r="GU1348" s="432"/>
      <c r="GV1348" s="432"/>
      <c r="GW1348" s="432"/>
      <c r="GX1348" s="432"/>
      <c r="GY1348" s="432"/>
      <c r="GZ1348" s="432"/>
      <c r="HA1348" s="432"/>
      <c r="HB1348" s="432"/>
      <c r="HC1348" s="432"/>
      <c r="HD1348" s="432"/>
      <c r="HE1348" s="432"/>
      <c r="HF1348" s="432"/>
      <c r="HG1348" s="432"/>
      <c r="HH1348" s="432"/>
      <c r="HI1348" s="432"/>
      <c r="HJ1348" s="432"/>
      <c r="HK1348" s="432"/>
      <c r="HL1348" s="432"/>
      <c r="HM1348" s="432"/>
      <c r="HN1348" s="432"/>
      <c r="HO1348" s="432"/>
      <c r="HP1348" s="432"/>
      <c r="HQ1348" s="432"/>
      <c r="HR1348" s="432"/>
      <c r="HS1348" s="432"/>
      <c r="HT1348" s="432"/>
      <c r="HU1348" s="432"/>
      <c r="HV1348" s="432"/>
      <c r="HW1348" s="432"/>
      <c r="HX1348" s="432"/>
      <c r="HY1348" s="432"/>
      <c r="HZ1348" s="432"/>
      <c r="IA1348" s="432"/>
      <c r="IB1348" s="432"/>
      <c r="IC1348" s="432"/>
      <c r="ID1348" s="432"/>
      <c r="IE1348" s="432"/>
      <c r="IF1348" s="432"/>
      <c r="IG1348" s="432"/>
      <c r="IH1348" s="432"/>
      <c r="II1348" s="432"/>
      <c r="IJ1348" s="432"/>
      <c r="IK1348" s="432"/>
      <c r="IL1348" s="432"/>
      <c r="IM1348" s="432"/>
      <c r="IN1348" s="432"/>
      <c r="IO1348" s="432"/>
      <c r="IP1348" s="432"/>
      <c r="IQ1348" s="432"/>
      <c r="IR1348" s="432"/>
      <c r="IS1348" s="432"/>
      <c r="IT1348" s="432"/>
      <c r="IU1348" s="432"/>
      <c r="IV1348" s="432"/>
    </row>
    <row r="1349" spans="1:181" s="421" customFormat="1" ht="66.75" customHeight="1">
      <c r="A1349" s="918"/>
      <c r="B1349" s="1201" t="s">
        <v>903</v>
      </c>
      <c r="C1349" s="1202"/>
      <c r="D1349" s="1202"/>
      <c r="E1349" s="1203"/>
      <c r="F1349" s="1108"/>
      <c r="G1349" s="420"/>
      <c r="H1349" s="420"/>
      <c r="I1349" s="420"/>
      <c r="J1349" s="420"/>
      <c r="K1349" s="420"/>
      <c r="L1349" s="420"/>
      <c r="M1349" s="420"/>
      <c r="N1349" s="646"/>
      <c r="O1349" s="646"/>
      <c r="P1349" s="420"/>
      <c r="Q1349" s="420"/>
      <c r="R1349" s="420"/>
      <c r="S1349" s="420"/>
      <c r="T1349" s="420"/>
      <c r="U1349" s="420"/>
      <c r="V1349" s="420"/>
      <c r="W1349" s="420"/>
      <c r="X1349" s="420"/>
      <c r="Y1349" s="420"/>
      <c r="Z1349" s="420"/>
      <c r="AA1349" s="420"/>
      <c r="AB1349" s="420"/>
      <c r="AC1349" s="420"/>
      <c r="AD1349" s="420"/>
      <c r="AE1349" s="420"/>
      <c r="AF1349" s="420"/>
      <c r="AG1349" s="420"/>
      <c r="AH1349" s="420"/>
      <c r="AI1349" s="420"/>
      <c r="AJ1349" s="420"/>
      <c r="AK1349" s="420"/>
      <c r="AL1349" s="420"/>
      <c r="AM1349" s="420"/>
      <c r="AN1349" s="420"/>
      <c r="AO1349" s="420"/>
      <c r="AP1349" s="420"/>
      <c r="AQ1349" s="420"/>
      <c r="AR1349" s="420"/>
      <c r="AS1349" s="420"/>
      <c r="AT1349" s="420"/>
      <c r="AU1349" s="420"/>
      <c r="AV1349" s="420"/>
      <c r="AW1349" s="420"/>
      <c r="AX1349" s="420"/>
      <c r="AY1349" s="420"/>
      <c r="AZ1349" s="420"/>
      <c r="BA1349" s="420"/>
      <c r="BB1349" s="420"/>
      <c r="BC1349" s="420"/>
      <c r="BD1349" s="420"/>
      <c r="BE1349" s="420"/>
      <c r="BF1349" s="420"/>
      <c r="BG1349" s="420"/>
      <c r="BH1349" s="420"/>
      <c r="BI1349" s="420"/>
      <c r="BJ1349" s="420"/>
      <c r="BK1349" s="420"/>
      <c r="BL1349" s="420"/>
      <c r="BM1349" s="420"/>
      <c r="BN1349" s="420"/>
      <c r="BO1349" s="420"/>
      <c r="BP1349" s="420"/>
      <c r="BQ1349" s="420"/>
      <c r="BR1349" s="420"/>
      <c r="BS1349" s="420"/>
      <c r="BT1349" s="420"/>
      <c r="BU1349" s="420"/>
      <c r="BV1349" s="420"/>
      <c r="BW1349" s="420"/>
      <c r="BX1349" s="420"/>
      <c r="BY1349" s="420"/>
      <c r="BZ1349" s="420"/>
      <c r="CA1349" s="420"/>
      <c r="CB1349" s="420"/>
      <c r="CC1349" s="420"/>
      <c r="CD1349" s="420"/>
      <c r="CE1349" s="420"/>
      <c r="CF1349" s="420"/>
      <c r="CG1349" s="420"/>
      <c r="CH1349" s="420"/>
      <c r="CI1349" s="420"/>
      <c r="CJ1349" s="420"/>
      <c r="CK1349" s="420"/>
      <c r="CL1349" s="420"/>
      <c r="CM1349" s="420"/>
      <c r="CN1349" s="420"/>
      <c r="CO1349" s="420"/>
      <c r="CP1349" s="420"/>
      <c r="CQ1349" s="420"/>
      <c r="CR1349" s="420"/>
      <c r="CS1349" s="420"/>
      <c r="CT1349" s="420"/>
      <c r="CU1349" s="420"/>
      <c r="CV1349" s="420"/>
      <c r="CW1349" s="420"/>
      <c r="CX1349" s="420"/>
      <c r="CY1349" s="420"/>
      <c r="CZ1349" s="420"/>
      <c r="DA1349" s="420"/>
      <c r="DB1349" s="420"/>
      <c r="DC1349" s="420"/>
      <c r="DD1349" s="420"/>
      <c r="DE1349" s="420"/>
      <c r="DF1349" s="420"/>
      <c r="DG1349" s="420"/>
      <c r="DH1349" s="420"/>
      <c r="DI1349" s="420"/>
      <c r="DJ1349" s="420"/>
      <c r="DK1349" s="420"/>
      <c r="DL1349" s="420"/>
      <c r="DM1349" s="420"/>
      <c r="DN1349" s="420"/>
      <c r="DO1349" s="420"/>
      <c r="DP1349" s="420"/>
      <c r="DQ1349" s="420"/>
      <c r="DR1349" s="420"/>
      <c r="DS1349" s="420"/>
      <c r="DT1349" s="420"/>
      <c r="DU1349" s="420"/>
      <c r="DV1349" s="420"/>
      <c r="DW1349" s="420"/>
      <c r="DX1349" s="420"/>
      <c r="DY1349" s="420"/>
      <c r="DZ1349" s="420"/>
      <c r="EA1349" s="420"/>
      <c r="EB1349" s="420"/>
      <c r="EC1349" s="420"/>
      <c r="ED1349" s="420"/>
      <c r="EE1349" s="420"/>
      <c r="EF1349" s="420"/>
      <c r="EG1349" s="420"/>
      <c r="EH1349" s="420"/>
      <c r="EI1349" s="420"/>
      <c r="EJ1349" s="420"/>
      <c r="EK1349" s="420"/>
      <c r="EL1349" s="420"/>
      <c r="EM1349" s="420"/>
      <c r="EN1349" s="420"/>
      <c r="EO1349" s="420"/>
      <c r="EP1349" s="420"/>
      <c r="EQ1349" s="420"/>
      <c r="ER1349" s="420"/>
      <c r="ES1349" s="420"/>
      <c r="ET1349" s="420"/>
      <c r="EU1349" s="420"/>
      <c r="EV1349" s="420"/>
      <c r="EW1349" s="420"/>
      <c r="EX1349" s="420"/>
      <c r="EY1349" s="420"/>
      <c r="EZ1349" s="420"/>
      <c r="FA1349" s="420"/>
      <c r="FB1349" s="420"/>
      <c r="FC1349" s="420"/>
      <c r="FD1349" s="420"/>
      <c r="FE1349" s="420"/>
      <c r="FF1349" s="420"/>
      <c r="FG1349" s="420"/>
      <c r="FH1349" s="420"/>
      <c r="FI1349" s="420"/>
      <c r="FJ1349" s="420"/>
      <c r="FK1349" s="420"/>
      <c r="FL1349" s="420"/>
      <c r="FM1349" s="420"/>
      <c r="FN1349" s="420"/>
      <c r="FO1349" s="420"/>
      <c r="FP1349" s="420"/>
      <c r="FQ1349" s="420"/>
      <c r="FR1349" s="420"/>
      <c r="FS1349" s="420"/>
      <c r="FT1349" s="420"/>
      <c r="FU1349" s="420"/>
      <c r="FV1349" s="420"/>
      <c r="FW1349" s="420"/>
      <c r="FX1349" s="420"/>
      <c r="FY1349" s="420"/>
    </row>
    <row r="1350" spans="1:181" s="421" customFormat="1" ht="20.25" customHeight="1">
      <c r="A1350" s="954"/>
      <c r="B1350" s="955" t="s">
        <v>948</v>
      </c>
      <c r="C1350" s="956"/>
      <c r="D1350" s="982"/>
      <c r="E1350" s="956"/>
      <c r="F1350" s="956"/>
      <c r="G1350" s="420"/>
      <c r="H1350" s="420"/>
      <c r="I1350" s="420"/>
      <c r="J1350" s="420"/>
      <c r="K1350" s="420"/>
      <c r="L1350" s="420"/>
      <c r="M1350" s="420"/>
      <c r="N1350" s="646"/>
      <c r="O1350" s="646"/>
      <c r="P1350" s="420"/>
      <c r="Q1350" s="420"/>
      <c r="R1350" s="420"/>
      <c r="S1350" s="420"/>
      <c r="T1350" s="420"/>
      <c r="U1350" s="420"/>
      <c r="V1350" s="420"/>
      <c r="W1350" s="420"/>
      <c r="X1350" s="420"/>
      <c r="Y1350" s="420"/>
      <c r="Z1350" s="420"/>
      <c r="AA1350" s="420"/>
      <c r="AB1350" s="420"/>
      <c r="AC1350" s="420"/>
      <c r="AD1350" s="420"/>
      <c r="AE1350" s="420"/>
      <c r="AF1350" s="420"/>
      <c r="AG1350" s="420"/>
      <c r="AH1350" s="420"/>
      <c r="AI1350" s="420"/>
      <c r="AJ1350" s="420"/>
      <c r="AK1350" s="420"/>
      <c r="AL1350" s="420"/>
      <c r="AM1350" s="420"/>
      <c r="AN1350" s="420"/>
      <c r="AO1350" s="420"/>
      <c r="AP1350" s="420"/>
      <c r="AQ1350" s="420"/>
      <c r="AR1350" s="420"/>
      <c r="AS1350" s="420"/>
      <c r="AT1350" s="420"/>
      <c r="AU1350" s="420"/>
      <c r="AV1350" s="420"/>
      <c r="AW1350" s="420"/>
      <c r="AX1350" s="420"/>
      <c r="AY1350" s="420"/>
      <c r="AZ1350" s="420"/>
      <c r="BA1350" s="420"/>
      <c r="BB1350" s="420"/>
      <c r="BC1350" s="420"/>
      <c r="BD1350" s="420"/>
      <c r="BE1350" s="420"/>
      <c r="BF1350" s="420"/>
      <c r="BG1350" s="420"/>
      <c r="BH1350" s="420"/>
      <c r="BI1350" s="420"/>
      <c r="BJ1350" s="420"/>
      <c r="BK1350" s="420"/>
      <c r="BL1350" s="420"/>
      <c r="BM1350" s="420"/>
      <c r="BN1350" s="420"/>
      <c r="BO1350" s="420"/>
      <c r="BP1350" s="420"/>
      <c r="BQ1350" s="420"/>
      <c r="BR1350" s="420"/>
      <c r="BS1350" s="420"/>
      <c r="BT1350" s="420"/>
      <c r="BU1350" s="420"/>
      <c r="BV1350" s="420"/>
      <c r="BW1350" s="420"/>
      <c r="BX1350" s="420"/>
      <c r="BY1350" s="420"/>
      <c r="BZ1350" s="420"/>
      <c r="CA1350" s="420"/>
      <c r="CB1350" s="420"/>
      <c r="CC1350" s="420"/>
      <c r="CD1350" s="420"/>
      <c r="CE1350" s="420"/>
      <c r="CF1350" s="420"/>
      <c r="CG1350" s="420"/>
      <c r="CH1350" s="420"/>
      <c r="CI1350" s="420"/>
      <c r="CJ1350" s="420"/>
      <c r="CK1350" s="420"/>
      <c r="CL1350" s="420"/>
      <c r="CM1350" s="420"/>
      <c r="CN1350" s="420"/>
      <c r="CO1350" s="420"/>
      <c r="CP1350" s="420"/>
      <c r="CQ1350" s="420"/>
      <c r="CR1350" s="420"/>
      <c r="CS1350" s="420"/>
      <c r="CT1350" s="420"/>
      <c r="CU1350" s="420"/>
      <c r="CV1350" s="420"/>
      <c r="CW1350" s="420"/>
      <c r="CX1350" s="420"/>
      <c r="CY1350" s="420"/>
      <c r="CZ1350" s="420"/>
      <c r="DA1350" s="420"/>
      <c r="DB1350" s="420"/>
      <c r="DC1350" s="420"/>
      <c r="DD1350" s="420"/>
      <c r="DE1350" s="420"/>
      <c r="DF1350" s="420"/>
      <c r="DG1350" s="420"/>
      <c r="DH1350" s="420"/>
      <c r="DI1350" s="420"/>
      <c r="DJ1350" s="420"/>
      <c r="DK1350" s="420"/>
      <c r="DL1350" s="420"/>
      <c r="DM1350" s="420"/>
      <c r="DN1350" s="420"/>
      <c r="DO1350" s="420"/>
      <c r="DP1350" s="420"/>
      <c r="DQ1350" s="420"/>
      <c r="DR1350" s="420"/>
      <c r="DS1350" s="420"/>
      <c r="DT1350" s="420"/>
      <c r="DU1350" s="420"/>
      <c r="DV1350" s="420"/>
      <c r="DW1350" s="420"/>
      <c r="DX1350" s="420"/>
      <c r="DY1350" s="420"/>
      <c r="DZ1350" s="420"/>
      <c r="EA1350" s="420"/>
      <c r="EB1350" s="420"/>
      <c r="EC1350" s="420"/>
      <c r="ED1350" s="420"/>
      <c r="EE1350" s="420"/>
      <c r="EF1350" s="420"/>
      <c r="EG1350" s="420"/>
      <c r="EH1350" s="420"/>
      <c r="EI1350" s="420"/>
      <c r="EJ1350" s="420"/>
      <c r="EK1350" s="420"/>
      <c r="EL1350" s="420"/>
      <c r="EM1350" s="420"/>
      <c r="EN1350" s="420"/>
      <c r="EO1350" s="420"/>
      <c r="EP1350" s="420"/>
      <c r="EQ1350" s="420"/>
      <c r="ER1350" s="420"/>
      <c r="ES1350" s="420"/>
      <c r="ET1350" s="420"/>
      <c r="EU1350" s="420"/>
      <c r="EV1350" s="420"/>
      <c r="EW1350" s="420"/>
      <c r="EX1350" s="420"/>
      <c r="EY1350" s="420"/>
      <c r="EZ1350" s="420"/>
      <c r="FA1350" s="420"/>
      <c r="FB1350" s="420"/>
      <c r="FC1350" s="420"/>
      <c r="FD1350" s="420"/>
      <c r="FE1350" s="420"/>
      <c r="FF1350" s="420"/>
      <c r="FG1350" s="420"/>
      <c r="FH1350" s="420"/>
      <c r="FI1350" s="420"/>
      <c r="FJ1350" s="420"/>
      <c r="FK1350" s="420"/>
      <c r="FL1350" s="420"/>
      <c r="FM1350" s="420"/>
      <c r="FN1350" s="420"/>
      <c r="FO1350" s="420"/>
      <c r="FP1350" s="420"/>
      <c r="FQ1350" s="420"/>
      <c r="FR1350" s="420"/>
      <c r="FS1350" s="420"/>
      <c r="FT1350" s="420"/>
      <c r="FU1350" s="420"/>
      <c r="FV1350" s="420"/>
      <c r="FW1350" s="420"/>
      <c r="FX1350" s="420"/>
      <c r="FY1350" s="420"/>
    </row>
    <row r="1351" spans="1:181" s="421" customFormat="1" ht="32.25" customHeight="1">
      <c r="A1351" s="918" t="s">
        <v>997</v>
      </c>
      <c r="B1351" s="927" t="s">
        <v>998</v>
      </c>
      <c r="C1351" s="983" t="s">
        <v>47</v>
      </c>
      <c r="D1351" s="970">
        <v>1</v>
      </c>
      <c r="E1351" s="984"/>
      <c r="F1351" s="380">
        <f>D1351*E1351</f>
        <v>0</v>
      </c>
      <c r="G1351" s="420"/>
      <c r="H1351" s="420"/>
      <c r="I1351" s="420"/>
      <c r="J1351" s="420"/>
      <c r="K1351" s="420"/>
      <c r="L1351" s="420"/>
      <c r="M1351" s="420"/>
      <c r="N1351" s="640">
        <f>E1351*1.2</f>
        <v>0</v>
      </c>
      <c r="O1351" s="640">
        <f>N1351*D1351</f>
        <v>0</v>
      </c>
      <c r="P1351" s="420"/>
      <c r="Q1351" s="420"/>
      <c r="R1351" s="420"/>
      <c r="S1351" s="420"/>
      <c r="T1351" s="420"/>
      <c r="U1351" s="420"/>
      <c r="V1351" s="420"/>
      <c r="W1351" s="420"/>
      <c r="X1351" s="420"/>
      <c r="Y1351" s="420"/>
      <c r="Z1351" s="420"/>
      <c r="AA1351" s="420"/>
      <c r="AB1351" s="420"/>
      <c r="AC1351" s="420"/>
      <c r="AD1351" s="420"/>
      <c r="AE1351" s="420"/>
      <c r="AF1351" s="420"/>
      <c r="AG1351" s="420"/>
      <c r="AH1351" s="420"/>
      <c r="AI1351" s="420"/>
      <c r="AJ1351" s="420"/>
      <c r="AK1351" s="420"/>
      <c r="AL1351" s="420"/>
      <c r="AM1351" s="420"/>
      <c r="AN1351" s="420"/>
      <c r="AO1351" s="420"/>
      <c r="AP1351" s="420"/>
      <c r="AQ1351" s="420"/>
      <c r="AR1351" s="420"/>
      <c r="AS1351" s="420"/>
      <c r="AT1351" s="420"/>
      <c r="AU1351" s="420"/>
      <c r="AV1351" s="420"/>
      <c r="AW1351" s="420"/>
      <c r="AX1351" s="420"/>
      <c r="AY1351" s="420"/>
      <c r="AZ1351" s="420"/>
      <c r="BA1351" s="420"/>
      <c r="BB1351" s="420"/>
      <c r="BC1351" s="420"/>
      <c r="BD1351" s="420"/>
      <c r="BE1351" s="420"/>
      <c r="BF1351" s="420"/>
      <c r="BG1351" s="420"/>
      <c r="BH1351" s="420"/>
      <c r="BI1351" s="420"/>
      <c r="BJ1351" s="420"/>
      <c r="BK1351" s="420"/>
      <c r="BL1351" s="420"/>
      <c r="BM1351" s="420"/>
      <c r="BN1351" s="420"/>
      <c r="BO1351" s="420"/>
      <c r="BP1351" s="420"/>
      <c r="BQ1351" s="420"/>
      <c r="BR1351" s="420"/>
      <c r="BS1351" s="420"/>
      <c r="BT1351" s="420"/>
      <c r="BU1351" s="420"/>
      <c r="BV1351" s="420"/>
      <c r="BW1351" s="420"/>
      <c r="BX1351" s="420"/>
      <c r="BY1351" s="420"/>
      <c r="BZ1351" s="420"/>
      <c r="CA1351" s="420"/>
      <c r="CB1351" s="420"/>
      <c r="CC1351" s="420"/>
      <c r="CD1351" s="420"/>
      <c r="CE1351" s="420"/>
      <c r="CF1351" s="420"/>
      <c r="CG1351" s="420"/>
      <c r="CH1351" s="420"/>
      <c r="CI1351" s="420"/>
      <c r="CJ1351" s="420"/>
      <c r="CK1351" s="420"/>
      <c r="CL1351" s="420"/>
      <c r="CM1351" s="420"/>
      <c r="CN1351" s="420"/>
      <c r="CO1351" s="420"/>
      <c r="CP1351" s="420"/>
      <c r="CQ1351" s="420"/>
      <c r="CR1351" s="420"/>
      <c r="CS1351" s="420"/>
      <c r="CT1351" s="420"/>
      <c r="CU1351" s="420"/>
      <c r="CV1351" s="420"/>
      <c r="CW1351" s="420"/>
      <c r="CX1351" s="420"/>
      <c r="CY1351" s="420"/>
      <c r="CZ1351" s="420"/>
      <c r="DA1351" s="420"/>
      <c r="DB1351" s="420"/>
      <c r="DC1351" s="420"/>
      <c r="DD1351" s="420"/>
      <c r="DE1351" s="420"/>
      <c r="DF1351" s="420"/>
      <c r="DG1351" s="420"/>
      <c r="DH1351" s="420"/>
      <c r="DI1351" s="420"/>
      <c r="DJ1351" s="420"/>
      <c r="DK1351" s="420"/>
      <c r="DL1351" s="420"/>
      <c r="DM1351" s="420"/>
      <c r="DN1351" s="420"/>
      <c r="DO1351" s="420"/>
      <c r="DP1351" s="420"/>
      <c r="DQ1351" s="420"/>
      <c r="DR1351" s="420"/>
      <c r="DS1351" s="420"/>
      <c r="DT1351" s="420"/>
      <c r="DU1351" s="420"/>
      <c r="DV1351" s="420"/>
      <c r="DW1351" s="420"/>
      <c r="DX1351" s="420"/>
      <c r="DY1351" s="420"/>
      <c r="DZ1351" s="420"/>
      <c r="EA1351" s="420"/>
      <c r="EB1351" s="420"/>
      <c r="EC1351" s="420"/>
      <c r="ED1351" s="420"/>
      <c r="EE1351" s="420"/>
      <c r="EF1351" s="420"/>
      <c r="EG1351" s="420"/>
      <c r="EH1351" s="420"/>
      <c r="EI1351" s="420"/>
      <c r="EJ1351" s="420"/>
      <c r="EK1351" s="420"/>
      <c r="EL1351" s="420"/>
      <c r="EM1351" s="420"/>
      <c r="EN1351" s="420"/>
      <c r="EO1351" s="420"/>
      <c r="EP1351" s="420"/>
      <c r="EQ1351" s="420"/>
      <c r="ER1351" s="420"/>
      <c r="ES1351" s="420"/>
      <c r="ET1351" s="420"/>
      <c r="EU1351" s="420"/>
      <c r="EV1351" s="420"/>
      <c r="EW1351" s="420"/>
      <c r="EX1351" s="420"/>
      <c r="EY1351" s="420"/>
      <c r="EZ1351" s="420"/>
      <c r="FA1351" s="420"/>
      <c r="FB1351" s="420"/>
      <c r="FC1351" s="420"/>
      <c r="FD1351" s="420"/>
      <c r="FE1351" s="420"/>
      <c r="FF1351" s="420"/>
      <c r="FG1351" s="420"/>
      <c r="FH1351" s="420"/>
      <c r="FI1351" s="420"/>
      <c r="FJ1351" s="420"/>
      <c r="FK1351" s="420"/>
      <c r="FL1351" s="420"/>
      <c r="FM1351" s="420"/>
      <c r="FN1351" s="420"/>
      <c r="FO1351" s="420"/>
      <c r="FP1351" s="420"/>
      <c r="FQ1351" s="420"/>
      <c r="FR1351" s="420"/>
      <c r="FS1351" s="420"/>
      <c r="FT1351" s="420"/>
      <c r="FU1351" s="420"/>
      <c r="FV1351" s="420"/>
      <c r="FW1351" s="420"/>
      <c r="FX1351" s="420"/>
      <c r="FY1351" s="420"/>
    </row>
    <row r="1352" spans="1:181" s="421" customFormat="1" ht="66" customHeight="1">
      <c r="A1352" s="918" t="s">
        <v>999</v>
      </c>
      <c r="B1352" s="927" t="s">
        <v>1000</v>
      </c>
      <c r="C1352" s="983" t="s">
        <v>47</v>
      </c>
      <c r="D1352" s="970">
        <v>1</v>
      </c>
      <c r="E1352" s="984"/>
      <c r="F1352" s="380">
        <f>D1352*E1352</f>
        <v>0</v>
      </c>
      <c r="G1352" s="420"/>
      <c r="H1352" s="420"/>
      <c r="I1352" s="420"/>
      <c r="J1352" s="420"/>
      <c r="K1352" s="420"/>
      <c r="L1352" s="420"/>
      <c r="M1352" s="420"/>
      <c r="N1352" s="640">
        <f>E1352*1.2</f>
        <v>0</v>
      </c>
      <c r="O1352" s="640">
        <f>N1352*D1352</f>
        <v>0</v>
      </c>
      <c r="P1352" s="420"/>
      <c r="Q1352" s="420"/>
      <c r="R1352" s="420"/>
      <c r="S1352" s="420"/>
      <c r="T1352" s="420"/>
      <c r="U1352" s="420"/>
      <c r="V1352" s="420"/>
      <c r="W1352" s="420"/>
      <c r="X1352" s="420"/>
      <c r="Y1352" s="420"/>
      <c r="Z1352" s="420"/>
      <c r="AA1352" s="420"/>
      <c r="AB1352" s="420"/>
      <c r="AC1352" s="420"/>
      <c r="AD1352" s="420"/>
      <c r="AE1352" s="420"/>
      <c r="AF1352" s="420"/>
      <c r="AG1352" s="420"/>
      <c r="AH1352" s="420"/>
      <c r="AI1352" s="420"/>
      <c r="AJ1352" s="420"/>
      <c r="AK1352" s="420"/>
      <c r="AL1352" s="420"/>
      <c r="AM1352" s="420"/>
      <c r="AN1352" s="420"/>
      <c r="AO1352" s="420"/>
      <c r="AP1352" s="420"/>
      <c r="AQ1352" s="420"/>
      <c r="AR1352" s="420"/>
      <c r="AS1352" s="420"/>
      <c r="AT1352" s="420"/>
      <c r="AU1352" s="420"/>
      <c r="AV1352" s="420"/>
      <c r="AW1352" s="420"/>
      <c r="AX1352" s="420"/>
      <c r="AY1352" s="420"/>
      <c r="AZ1352" s="420"/>
      <c r="BA1352" s="420"/>
      <c r="BB1352" s="420"/>
      <c r="BC1352" s="420"/>
      <c r="BD1352" s="420"/>
      <c r="BE1352" s="420"/>
      <c r="BF1352" s="420"/>
      <c r="BG1352" s="420"/>
      <c r="BH1352" s="420"/>
      <c r="BI1352" s="420"/>
      <c r="BJ1352" s="420"/>
      <c r="BK1352" s="420"/>
      <c r="BL1352" s="420"/>
      <c r="BM1352" s="420"/>
      <c r="BN1352" s="420"/>
      <c r="BO1352" s="420"/>
      <c r="BP1352" s="420"/>
      <c r="BQ1352" s="420"/>
      <c r="BR1352" s="420"/>
      <c r="BS1352" s="420"/>
      <c r="BT1352" s="420"/>
      <c r="BU1352" s="420"/>
      <c r="BV1352" s="420"/>
      <c r="BW1352" s="420"/>
      <c r="BX1352" s="420"/>
      <c r="BY1352" s="420"/>
      <c r="BZ1352" s="420"/>
      <c r="CA1352" s="420"/>
      <c r="CB1352" s="420"/>
      <c r="CC1352" s="420"/>
      <c r="CD1352" s="420"/>
      <c r="CE1352" s="420"/>
      <c r="CF1352" s="420"/>
      <c r="CG1352" s="420"/>
      <c r="CH1352" s="420"/>
      <c r="CI1352" s="420"/>
      <c r="CJ1352" s="420"/>
      <c r="CK1352" s="420"/>
      <c r="CL1352" s="420"/>
      <c r="CM1352" s="420"/>
      <c r="CN1352" s="420"/>
      <c r="CO1352" s="420"/>
      <c r="CP1352" s="420"/>
      <c r="CQ1352" s="420"/>
      <c r="CR1352" s="420"/>
      <c r="CS1352" s="420"/>
      <c r="CT1352" s="420"/>
      <c r="CU1352" s="420"/>
      <c r="CV1352" s="420"/>
      <c r="CW1352" s="420"/>
      <c r="CX1352" s="420"/>
      <c r="CY1352" s="420"/>
      <c r="CZ1352" s="420"/>
      <c r="DA1352" s="420"/>
      <c r="DB1352" s="420"/>
      <c r="DC1352" s="420"/>
      <c r="DD1352" s="420"/>
      <c r="DE1352" s="420"/>
      <c r="DF1352" s="420"/>
      <c r="DG1352" s="420"/>
      <c r="DH1352" s="420"/>
      <c r="DI1352" s="420"/>
      <c r="DJ1352" s="420"/>
      <c r="DK1352" s="420"/>
      <c r="DL1352" s="420"/>
      <c r="DM1352" s="420"/>
      <c r="DN1352" s="420"/>
      <c r="DO1352" s="420"/>
      <c r="DP1352" s="420"/>
      <c r="DQ1352" s="420"/>
      <c r="DR1352" s="420"/>
      <c r="DS1352" s="420"/>
      <c r="DT1352" s="420"/>
      <c r="DU1352" s="420"/>
      <c r="DV1352" s="420"/>
      <c r="DW1352" s="420"/>
      <c r="DX1352" s="420"/>
      <c r="DY1352" s="420"/>
      <c r="DZ1352" s="420"/>
      <c r="EA1352" s="420"/>
      <c r="EB1352" s="420"/>
      <c r="EC1352" s="420"/>
      <c r="ED1352" s="420"/>
      <c r="EE1352" s="420"/>
      <c r="EF1352" s="420"/>
      <c r="EG1352" s="420"/>
      <c r="EH1352" s="420"/>
      <c r="EI1352" s="420"/>
      <c r="EJ1352" s="420"/>
      <c r="EK1352" s="420"/>
      <c r="EL1352" s="420"/>
      <c r="EM1352" s="420"/>
      <c r="EN1352" s="420"/>
      <c r="EO1352" s="420"/>
      <c r="EP1352" s="420"/>
      <c r="EQ1352" s="420"/>
      <c r="ER1352" s="420"/>
      <c r="ES1352" s="420"/>
      <c r="ET1352" s="420"/>
      <c r="EU1352" s="420"/>
      <c r="EV1352" s="420"/>
      <c r="EW1352" s="420"/>
      <c r="EX1352" s="420"/>
      <c r="EY1352" s="420"/>
      <c r="EZ1352" s="420"/>
      <c r="FA1352" s="420"/>
      <c r="FB1352" s="420"/>
      <c r="FC1352" s="420"/>
      <c r="FD1352" s="420"/>
      <c r="FE1352" s="420"/>
      <c r="FF1352" s="420"/>
      <c r="FG1352" s="420"/>
      <c r="FH1352" s="420"/>
      <c r="FI1352" s="420"/>
      <c r="FJ1352" s="420"/>
      <c r="FK1352" s="420"/>
      <c r="FL1352" s="420"/>
      <c r="FM1352" s="420"/>
      <c r="FN1352" s="420"/>
      <c r="FO1352" s="420"/>
      <c r="FP1352" s="420"/>
      <c r="FQ1352" s="420"/>
      <c r="FR1352" s="420"/>
      <c r="FS1352" s="420"/>
      <c r="FT1352" s="420"/>
      <c r="FU1352" s="420"/>
      <c r="FV1352" s="420"/>
      <c r="FW1352" s="420"/>
      <c r="FX1352" s="420"/>
      <c r="FY1352" s="420"/>
    </row>
    <row r="1353" spans="1:181" s="421" customFormat="1" ht="44.25" customHeight="1">
      <c r="A1353" s="918" t="s">
        <v>1001</v>
      </c>
      <c r="B1353" s="927" t="s">
        <v>1002</v>
      </c>
      <c r="C1353" s="983" t="s">
        <v>47</v>
      </c>
      <c r="D1353" s="970">
        <v>1</v>
      </c>
      <c r="E1353" s="984"/>
      <c r="F1353" s="380">
        <f>D1353*E1353</f>
        <v>0</v>
      </c>
      <c r="G1353" s="420"/>
      <c r="H1353" s="420"/>
      <c r="I1353" s="420"/>
      <c r="J1353" s="420"/>
      <c r="K1353" s="420"/>
      <c r="L1353" s="420"/>
      <c r="M1353" s="420"/>
      <c r="N1353" s="640">
        <f>E1353*1.2</f>
        <v>0</v>
      </c>
      <c r="O1353" s="640">
        <f>N1353*D1353</f>
        <v>0</v>
      </c>
      <c r="P1353" s="420"/>
      <c r="Q1353" s="420"/>
      <c r="R1353" s="420"/>
      <c r="S1353" s="420"/>
      <c r="T1353" s="420"/>
      <c r="U1353" s="420"/>
      <c r="V1353" s="420"/>
      <c r="W1353" s="420"/>
      <c r="X1353" s="420"/>
      <c r="Y1353" s="420"/>
      <c r="Z1353" s="420"/>
      <c r="AA1353" s="420"/>
      <c r="AB1353" s="420"/>
      <c r="AC1353" s="420"/>
      <c r="AD1353" s="420"/>
      <c r="AE1353" s="420"/>
      <c r="AF1353" s="420"/>
      <c r="AG1353" s="420"/>
      <c r="AH1353" s="420"/>
      <c r="AI1353" s="420"/>
      <c r="AJ1353" s="420"/>
      <c r="AK1353" s="420"/>
      <c r="AL1353" s="420"/>
      <c r="AM1353" s="420"/>
      <c r="AN1353" s="420"/>
      <c r="AO1353" s="420"/>
      <c r="AP1353" s="420"/>
      <c r="AQ1353" s="420"/>
      <c r="AR1353" s="420"/>
      <c r="AS1353" s="420"/>
      <c r="AT1353" s="420"/>
      <c r="AU1353" s="420"/>
      <c r="AV1353" s="420"/>
      <c r="AW1353" s="420"/>
      <c r="AX1353" s="420"/>
      <c r="AY1353" s="420"/>
      <c r="AZ1353" s="420"/>
      <c r="BA1353" s="420"/>
      <c r="BB1353" s="420"/>
      <c r="BC1353" s="420"/>
      <c r="BD1353" s="420"/>
      <c r="BE1353" s="420"/>
      <c r="BF1353" s="420"/>
      <c r="BG1353" s="420"/>
      <c r="BH1353" s="420"/>
      <c r="BI1353" s="420"/>
      <c r="BJ1353" s="420"/>
      <c r="BK1353" s="420"/>
      <c r="BL1353" s="420"/>
      <c r="BM1353" s="420"/>
      <c r="BN1353" s="420"/>
      <c r="BO1353" s="420"/>
      <c r="BP1353" s="420"/>
      <c r="BQ1353" s="420"/>
      <c r="BR1353" s="420"/>
      <c r="BS1353" s="420"/>
      <c r="BT1353" s="420"/>
      <c r="BU1353" s="420"/>
      <c r="BV1353" s="420"/>
      <c r="BW1353" s="420"/>
      <c r="BX1353" s="420"/>
      <c r="BY1353" s="420"/>
      <c r="BZ1353" s="420"/>
      <c r="CA1353" s="420"/>
      <c r="CB1353" s="420"/>
      <c r="CC1353" s="420"/>
      <c r="CD1353" s="420"/>
      <c r="CE1353" s="420"/>
      <c r="CF1353" s="420"/>
      <c r="CG1353" s="420"/>
      <c r="CH1353" s="420"/>
      <c r="CI1353" s="420"/>
      <c r="CJ1353" s="420"/>
      <c r="CK1353" s="420"/>
      <c r="CL1353" s="420"/>
      <c r="CM1353" s="420"/>
      <c r="CN1353" s="420"/>
      <c r="CO1353" s="420"/>
      <c r="CP1353" s="420"/>
      <c r="CQ1353" s="420"/>
      <c r="CR1353" s="420"/>
      <c r="CS1353" s="420"/>
      <c r="CT1353" s="420"/>
      <c r="CU1353" s="420"/>
      <c r="CV1353" s="420"/>
      <c r="CW1353" s="420"/>
      <c r="CX1353" s="420"/>
      <c r="CY1353" s="420"/>
      <c r="CZ1353" s="420"/>
      <c r="DA1353" s="420"/>
      <c r="DB1353" s="420"/>
      <c r="DC1353" s="420"/>
      <c r="DD1353" s="420"/>
      <c r="DE1353" s="420"/>
      <c r="DF1353" s="420"/>
      <c r="DG1353" s="420"/>
      <c r="DH1353" s="420"/>
      <c r="DI1353" s="420"/>
      <c r="DJ1353" s="420"/>
      <c r="DK1353" s="420"/>
      <c r="DL1353" s="420"/>
      <c r="DM1353" s="420"/>
      <c r="DN1353" s="420"/>
      <c r="DO1353" s="420"/>
      <c r="DP1353" s="420"/>
      <c r="DQ1353" s="420"/>
      <c r="DR1353" s="420"/>
      <c r="DS1353" s="420"/>
      <c r="DT1353" s="420"/>
      <c r="DU1353" s="420"/>
      <c r="DV1353" s="420"/>
      <c r="DW1353" s="420"/>
      <c r="DX1353" s="420"/>
      <c r="DY1353" s="420"/>
      <c r="DZ1353" s="420"/>
      <c r="EA1353" s="420"/>
      <c r="EB1353" s="420"/>
      <c r="EC1353" s="420"/>
      <c r="ED1353" s="420"/>
      <c r="EE1353" s="420"/>
      <c r="EF1353" s="420"/>
      <c r="EG1353" s="420"/>
      <c r="EH1353" s="420"/>
      <c r="EI1353" s="420"/>
      <c r="EJ1353" s="420"/>
      <c r="EK1353" s="420"/>
      <c r="EL1353" s="420"/>
      <c r="EM1353" s="420"/>
      <c r="EN1353" s="420"/>
      <c r="EO1353" s="420"/>
      <c r="EP1353" s="420"/>
      <c r="EQ1353" s="420"/>
      <c r="ER1353" s="420"/>
      <c r="ES1353" s="420"/>
      <c r="ET1353" s="420"/>
      <c r="EU1353" s="420"/>
      <c r="EV1353" s="420"/>
      <c r="EW1353" s="420"/>
      <c r="EX1353" s="420"/>
      <c r="EY1353" s="420"/>
      <c r="EZ1353" s="420"/>
      <c r="FA1353" s="420"/>
      <c r="FB1353" s="420"/>
      <c r="FC1353" s="420"/>
      <c r="FD1353" s="420"/>
      <c r="FE1353" s="420"/>
      <c r="FF1353" s="420"/>
      <c r="FG1353" s="420"/>
      <c r="FH1353" s="420"/>
      <c r="FI1353" s="420"/>
      <c r="FJ1353" s="420"/>
      <c r="FK1353" s="420"/>
      <c r="FL1353" s="420"/>
      <c r="FM1353" s="420"/>
      <c r="FN1353" s="420"/>
      <c r="FO1353" s="420"/>
      <c r="FP1353" s="420"/>
      <c r="FQ1353" s="420"/>
      <c r="FR1353" s="420"/>
      <c r="FS1353" s="420"/>
      <c r="FT1353" s="420"/>
      <c r="FU1353" s="420"/>
      <c r="FV1353" s="420"/>
      <c r="FW1353" s="420"/>
      <c r="FX1353" s="420"/>
      <c r="FY1353" s="420"/>
    </row>
    <row r="1354" spans="1:181" s="421" customFormat="1" ht="44.25" customHeight="1">
      <c r="A1354" s="918" t="s">
        <v>1003</v>
      </c>
      <c r="B1354" s="927" t="s">
        <v>1004</v>
      </c>
      <c r="C1354" s="983" t="s">
        <v>47</v>
      </c>
      <c r="D1354" s="970">
        <v>1</v>
      </c>
      <c r="E1354" s="984"/>
      <c r="F1354" s="380">
        <f>D1354*E1354</f>
        <v>0</v>
      </c>
      <c r="G1354" s="420"/>
      <c r="H1354" s="420"/>
      <c r="I1354" s="420"/>
      <c r="J1354" s="420"/>
      <c r="K1354" s="420"/>
      <c r="L1354" s="420"/>
      <c r="M1354" s="420"/>
      <c r="N1354" s="640">
        <f>E1354*1.2</f>
        <v>0</v>
      </c>
      <c r="O1354" s="640">
        <f>N1354*D1354</f>
        <v>0</v>
      </c>
      <c r="P1354" s="420"/>
      <c r="Q1354" s="420"/>
      <c r="R1354" s="420"/>
      <c r="S1354" s="420"/>
      <c r="T1354" s="420"/>
      <c r="U1354" s="420"/>
      <c r="V1354" s="420"/>
      <c r="W1354" s="420"/>
      <c r="X1354" s="420"/>
      <c r="Y1354" s="420"/>
      <c r="Z1354" s="420"/>
      <c r="AA1354" s="420"/>
      <c r="AB1354" s="420"/>
      <c r="AC1354" s="420"/>
      <c r="AD1354" s="420"/>
      <c r="AE1354" s="420"/>
      <c r="AF1354" s="420"/>
      <c r="AG1354" s="420"/>
      <c r="AH1354" s="420"/>
      <c r="AI1354" s="420"/>
      <c r="AJ1354" s="420"/>
      <c r="AK1354" s="420"/>
      <c r="AL1354" s="420"/>
      <c r="AM1354" s="420"/>
      <c r="AN1354" s="420"/>
      <c r="AO1354" s="420"/>
      <c r="AP1354" s="420"/>
      <c r="AQ1354" s="420"/>
      <c r="AR1354" s="420"/>
      <c r="AS1354" s="420"/>
      <c r="AT1354" s="420"/>
      <c r="AU1354" s="420"/>
      <c r="AV1354" s="420"/>
      <c r="AW1354" s="420"/>
      <c r="AX1354" s="420"/>
      <c r="AY1354" s="420"/>
      <c r="AZ1354" s="420"/>
      <c r="BA1354" s="420"/>
      <c r="BB1354" s="420"/>
      <c r="BC1354" s="420"/>
      <c r="BD1354" s="420"/>
      <c r="BE1354" s="420"/>
      <c r="BF1354" s="420"/>
      <c r="BG1354" s="420"/>
      <c r="BH1354" s="420"/>
      <c r="BI1354" s="420"/>
      <c r="BJ1354" s="420"/>
      <c r="BK1354" s="420"/>
      <c r="BL1354" s="420"/>
      <c r="BM1354" s="420"/>
      <c r="BN1354" s="420"/>
      <c r="BO1354" s="420"/>
      <c r="BP1354" s="420"/>
      <c r="BQ1354" s="420"/>
      <c r="BR1354" s="420"/>
      <c r="BS1354" s="420"/>
      <c r="BT1354" s="420"/>
      <c r="BU1354" s="420"/>
      <c r="BV1354" s="420"/>
      <c r="BW1354" s="420"/>
      <c r="BX1354" s="420"/>
      <c r="BY1354" s="420"/>
      <c r="BZ1354" s="420"/>
      <c r="CA1354" s="420"/>
      <c r="CB1354" s="420"/>
      <c r="CC1354" s="420"/>
      <c r="CD1354" s="420"/>
      <c r="CE1354" s="420"/>
      <c r="CF1354" s="420"/>
      <c r="CG1354" s="420"/>
      <c r="CH1354" s="420"/>
      <c r="CI1354" s="420"/>
      <c r="CJ1354" s="420"/>
      <c r="CK1354" s="420"/>
      <c r="CL1354" s="420"/>
      <c r="CM1354" s="420"/>
      <c r="CN1354" s="420"/>
      <c r="CO1354" s="420"/>
      <c r="CP1354" s="420"/>
      <c r="CQ1354" s="420"/>
      <c r="CR1354" s="420"/>
      <c r="CS1354" s="420"/>
      <c r="CT1354" s="420"/>
      <c r="CU1354" s="420"/>
      <c r="CV1354" s="420"/>
      <c r="CW1354" s="420"/>
      <c r="CX1354" s="420"/>
      <c r="CY1354" s="420"/>
      <c r="CZ1354" s="420"/>
      <c r="DA1354" s="420"/>
      <c r="DB1354" s="420"/>
      <c r="DC1354" s="420"/>
      <c r="DD1354" s="420"/>
      <c r="DE1354" s="420"/>
      <c r="DF1354" s="420"/>
      <c r="DG1354" s="420"/>
      <c r="DH1354" s="420"/>
      <c r="DI1354" s="420"/>
      <c r="DJ1354" s="420"/>
      <c r="DK1354" s="420"/>
      <c r="DL1354" s="420"/>
      <c r="DM1354" s="420"/>
      <c r="DN1354" s="420"/>
      <c r="DO1354" s="420"/>
      <c r="DP1354" s="420"/>
      <c r="DQ1354" s="420"/>
      <c r="DR1354" s="420"/>
      <c r="DS1354" s="420"/>
      <c r="DT1354" s="420"/>
      <c r="DU1354" s="420"/>
      <c r="DV1354" s="420"/>
      <c r="DW1354" s="420"/>
      <c r="DX1354" s="420"/>
      <c r="DY1354" s="420"/>
      <c r="DZ1354" s="420"/>
      <c r="EA1354" s="420"/>
      <c r="EB1354" s="420"/>
      <c r="EC1354" s="420"/>
      <c r="ED1354" s="420"/>
      <c r="EE1354" s="420"/>
      <c r="EF1354" s="420"/>
      <c r="EG1354" s="420"/>
      <c r="EH1354" s="420"/>
      <c r="EI1354" s="420"/>
      <c r="EJ1354" s="420"/>
      <c r="EK1354" s="420"/>
      <c r="EL1354" s="420"/>
      <c r="EM1354" s="420"/>
      <c r="EN1354" s="420"/>
      <c r="EO1354" s="420"/>
      <c r="EP1354" s="420"/>
      <c r="EQ1354" s="420"/>
      <c r="ER1354" s="420"/>
      <c r="ES1354" s="420"/>
      <c r="ET1354" s="420"/>
      <c r="EU1354" s="420"/>
      <c r="EV1354" s="420"/>
      <c r="EW1354" s="420"/>
      <c r="EX1354" s="420"/>
      <c r="EY1354" s="420"/>
      <c r="EZ1354" s="420"/>
      <c r="FA1354" s="420"/>
      <c r="FB1354" s="420"/>
      <c r="FC1354" s="420"/>
      <c r="FD1354" s="420"/>
      <c r="FE1354" s="420"/>
      <c r="FF1354" s="420"/>
      <c r="FG1354" s="420"/>
      <c r="FH1354" s="420"/>
      <c r="FI1354" s="420"/>
      <c r="FJ1354" s="420"/>
      <c r="FK1354" s="420"/>
      <c r="FL1354" s="420"/>
      <c r="FM1354" s="420"/>
      <c r="FN1354" s="420"/>
      <c r="FO1354" s="420"/>
      <c r="FP1354" s="420"/>
      <c r="FQ1354" s="420"/>
      <c r="FR1354" s="420"/>
      <c r="FS1354" s="420"/>
      <c r="FT1354" s="420"/>
      <c r="FU1354" s="420"/>
      <c r="FV1354" s="420"/>
      <c r="FW1354" s="420"/>
      <c r="FX1354" s="420"/>
      <c r="FY1354" s="420"/>
    </row>
    <row r="1355" spans="1:181" s="421" customFormat="1" ht="44.25" customHeight="1">
      <c r="A1355" s="918" t="s">
        <v>1005</v>
      </c>
      <c r="B1355" s="927" t="s">
        <v>1006</v>
      </c>
      <c r="C1355" s="983" t="s">
        <v>47</v>
      </c>
      <c r="D1355" s="970">
        <v>1</v>
      </c>
      <c r="E1355" s="984"/>
      <c r="F1355" s="380">
        <f>D1355*E1355</f>
        <v>0</v>
      </c>
      <c r="G1355" s="420"/>
      <c r="H1355" s="420"/>
      <c r="I1355" s="420"/>
      <c r="J1355" s="420"/>
      <c r="K1355" s="420"/>
      <c r="L1355" s="420"/>
      <c r="M1355" s="420"/>
      <c r="N1355" s="640">
        <f>E1355*1.2</f>
        <v>0</v>
      </c>
      <c r="O1355" s="640">
        <f>N1355*D1355</f>
        <v>0</v>
      </c>
      <c r="P1355" s="420"/>
      <c r="Q1355" s="420"/>
      <c r="R1355" s="420"/>
      <c r="S1355" s="420"/>
      <c r="T1355" s="420"/>
      <c r="U1355" s="420"/>
      <c r="V1355" s="420"/>
      <c r="W1355" s="420"/>
      <c r="X1355" s="420"/>
      <c r="Y1355" s="420"/>
      <c r="Z1355" s="420"/>
      <c r="AA1355" s="420"/>
      <c r="AB1355" s="420"/>
      <c r="AC1355" s="420"/>
      <c r="AD1355" s="420"/>
      <c r="AE1355" s="420"/>
      <c r="AF1355" s="420"/>
      <c r="AG1355" s="420"/>
      <c r="AH1355" s="420"/>
      <c r="AI1355" s="420"/>
      <c r="AJ1355" s="420"/>
      <c r="AK1355" s="420"/>
      <c r="AL1355" s="420"/>
      <c r="AM1355" s="420"/>
      <c r="AN1355" s="420"/>
      <c r="AO1355" s="420"/>
      <c r="AP1355" s="420"/>
      <c r="AQ1355" s="420"/>
      <c r="AR1355" s="420"/>
      <c r="AS1355" s="420"/>
      <c r="AT1355" s="420"/>
      <c r="AU1355" s="420"/>
      <c r="AV1355" s="420"/>
      <c r="AW1355" s="420"/>
      <c r="AX1355" s="420"/>
      <c r="AY1355" s="420"/>
      <c r="AZ1355" s="420"/>
      <c r="BA1355" s="420"/>
      <c r="BB1355" s="420"/>
      <c r="BC1355" s="420"/>
      <c r="BD1355" s="420"/>
      <c r="BE1355" s="420"/>
      <c r="BF1355" s="420"/>
      <c r="BG1355" s="420"/>
      <c r="BH1355" s="420"/>
      <c r="BI1355" s="420"/>
      <c r="BJ1355" s="420"/>
      <c r="BK1355" s="420"/>
      <c r="BL1355" s="420"/>
      <c r="BM1355" s="420"/>
      <c r="BN1355" s="420"/>
      <c r="BO1355" s="420"/>
      <c r="BP1355" s="420"/>
      <c r="BQ1355" s="420"/>
      <c r="BR1355" s="420"/>
      <c r="BS1355" s="420"/>
      <c r="BT1355" s="420"/>
      <c r="BU1355" s="420"/>
      <c r="BV1355" s="420"/>
      <c r="BW1355" s="420"/>
      <c r="BX1355" s="420"/>
      <c r="BY1355" s="420"/>
      <c r="BZ1355" s="420"/>
      <c r="CA1355" s="420"/>
      <c r="CB1355" s="420"/>
      <c r="CC1355" s="420"/>
      <c r="CD1355" s="420"/>
      <c r="CE1355" s="420"/>
      <c r="CF1355" s="420"/>
      <c r="CG1355" s="420"/>
      <c r="CH1355" s="420"/>
      <c r="CI1355" s="420"/>
      <c r="CJ1355" s="420"/>
      <c r="CK1355" s="420"/>
      <c r="CL1355" s="420"/>
      <c r="CM1355" s="420"/>
      <c r="CN1355" s="420"/>
      <c r="CO1355" s="420"/>
      <c r="CP1355" s="420"/>
      <c r="CQ1355" s="420"/>
      <c r="CR1355" s="420"/>
      <c r="CS1355" s="420"/>
      <c r="CT1355" s="420"/>
      <c r="CU1355" s="420"/>
      <c r="CV1355" s="420"/>
      <c r="CW1355" s="420"/>
      <c r="CX1355" s="420"/>
      <c r="CY1355" s="420"/>
      <c r="CZ1355" s="420"/>
      <c r="DA1355" s="420"/>
      <c r="DB1355" s="420"/>
      <c r="DC1355" s="420"/>
      <c r="DD1355" s="420"/>
      <c r="DE1355" s="420"/>
      <c r="DF1355" s="420"/>
      <c r="DG1355" s="420"/>
      <c r="DH1355" s="420"/>
      <c r="DI1355" s="420"/>
      <c r="DJ1355" s="420"/>
      <c r="DK1355" s="420"/>
      <c r="DL1355" s="420"/>
      <c r="DM1355" s="420"/>
      <c r="DN1355" s="420"/>
      <c r="DO1355" s="420"/>
      <c r="DP1355" s="420"/>
      <c r="DQ1355" s="420"/>
      <c r="DR1355" s="420"/>
      <c r="DS1355" s="420"/>
      <c r="DT1355" s="420"/>
      <c r="DU1355" s="420"/>
      <c r="DV1355" s="420"/>
      <c r="DW1355" s="420"/>
      <c r="DX1355" s="420"/>
      <c r="DY1355" s="420"/>
      <c r="DZ1355" s="420"/>
      <c r="EA1355" s="420"/>
      <c r="EB1355" s="420"/>
      <c r="EC1355" s="420"/>
      <c r="ED1355" s="420"/>
      <c r="EE1355" s="420"/>
      <c r="EF1355" s="420"/>
      <c r="EG1355" s="420"/>
      <c r="EH1355" s="420"/>
      <c r="EI1355" s="420"/>
      <c r="EJ1355" s="420"/>
      <c r="EK1355" s="420"/>
      <c r="EL1355" s="420"/>
      <c r="EM1355" s="420"/>
      <c r="EN1355" s="420"/>
      <c r="EO1355" s="420"/>
      <c r="EP1355" s="420"/>
      <c r="EQ1355" s="420"/>
      <c r="ER1355" s="420"/>
      <c r="ES1355" s="420"/>
      <c r="ET1355" s="420"/>
      <c r="EU1355" s="420"/>
      <c r="EV1355" s="420"/>
      <c r="EW1355" s="420"/>
      <c r="EX1355" s="420"/>
      <c r="EY1355" s="420"/>
      <c r="EZ1355" s="420"/>
      <c r="FA1355" s="420"/>
      <c r="FB1355" s="420"/>
      <c r="FC1355" s="420"/>
      <c r="FD1355" s="420"/>
      <c r="FE1355" s="420"/>
      <c r="FF1355" s="420"/>
      <c r="FG1355" s="420"/>
      <c r="FH1355" s="420"/>
      <c r="FI1355" s="420"/>
      <c r="FJ1355" s="420"/>
      <c r="FK1355" s="420"/>
      <c r="FL1355" s="420"/>
      <c r="FM1355" s="420"/>
      <c r="FN1355" s="420"/>
      <c r="FO1355" s="420"/>
      <c r="FP1355" s="420"/>
      <c r="FQ1355" s="420"/>
      <c r="FR1355" s="420"/>
      <c r="FS1355" s="420"/>
      <c r="FT1355" s="420"/>
      <c r="FU1355" s="420"/>
      <c r="FV1355" s="420"/>
      <c r="FW1355" s="420"/>
      <c r="FX1355" s="420"/>
      <c r="FY1355" s="420"/>
    </row>
    <row r="1356" spans="1:181" s="421" customFormat="1" ht="20.25" customHeight="1">
      <c r="A1356" s="954"/>
      <c r="B1356" s="955" t="s">
        <v>922</v>
      </c>
      <c r="C1356" s="956"/>
      <c r="D1356" s="956"/>
      <c r="E1356" s="956"/>
      <c r="F1356" s="956"/>
      <c r="G1356" s="420"/>
      <c r="H1356" s="420"/>
      <c r="I1356" s="420"/>
      <c r="J1356" s="420"/>
      <c r="K1356" s="420"/>
      <c r="L1356" s="420"/>
      <c r="M1356" s="420"/>
      <c r="N1356" s="646"/>
      <c r="O1356" s="646"/>
      <c r="P1356" s="420"/>
      <c r="Q1356" s="420"/>
      <c r="R1356" s="420"/>
      <c r="S1356" s="420"/>
      <c r="T1356" s="420"/>
      <c r="U1356" s="420"/>
      <c r="V1356" s="420"/>
      <c r="W1356" s="420"/>
      <c r="X1356" s="420"/>
      <c r="Y1356" s="420"/>
      <c r="Z1356" s="420"/>
      <c r="AA1356" s="420"/>
      <c r="AB1356" s="420"/>
      <c r="AC1356" s="420"/>
      <c r="AD1356" s="420"/>
      <c r="AE1356" s="420"/>
      <c r="AF1356" s="420"/>
      <c r="AG1356" s="420"/>
      <c r="AH1356" s="420"/>
      <c r="AI1356" s="420"/>
      <c r="AJ1356" s="420"/>
      <c r="AK1356" s="420"/>
      <c r="AL1356" s="420"/>
      <c r="AM1356" s="420"/>
      <c r="AN1356" s="420"/>
      <c r="AO1356" s="420"/>
      <c r="AP1356" s="420"/>
      <c r="AQ1356" s="420"/>
      <c r="AR1356" s="420"/>
      <c r="AS1356" s="420"/>
      <c r="AT1356" s="420"/>
      <c r="AU1356" s="420"/>
      <c r="AV1356" s="420"/>
      <c r="AW1356" s="420"/>
      <c r="AX1356" s="420"/>
      <c r="AY1356" s="420"/>
      <c r="AZ1356" s="420"/>
      <c r="BA1356" s="420"/>
      <c r="BB1356" s="420"/>
      <c r="BC1356" s="420"/>
      <c r="BD1356" s="420"/>
      <c r="BE1356" s="420"/>
      <c r="BF1356" s="420"/>
      <c r="BG1356" s="420"/>
      <c r="BH1356" s="420"/>
      <c r="BI1356" s="420"/>
      <c r="BJ1356" s="420"/>
      <c r="BK1356" s="420"/>
      <c r="BL1356" s="420"/>
      <c r="BM1356" s="420"/>
      <c r="BN1356" s="420"/>
      <c r="BO1356" s="420"/>
      <c r="BP1356" s="420"/>
      <c r="BQ1356" s="420"/>
      <c r="BR1356" s="420"/>
      <c r="BS1356" s="420"/>
      <c r="BT1356" s="420"/>
      <c r="BU1356" s="420"/>
      <c r="BV1356" s="420"/>
      <c r="BW1356" s="420"/>
      <c r="BX1356" s="420"/>
      <c r="BY1356" s="420"/>
      <c r="BZ1356" s="420"/>
      <c r="CA1356" s="420"/>
      <c r="CB1356" s="420"/>
      <c r="CC1356" s="420"/>
      <c r="CD1356" s="420"/>
      <c r="CE1356" s="420"/>
      <c r="CF1356" s="420"/>
      <c r="CG1356" s="420"/>
      <c r="CH1356" s="420"/>
      <c r="CI1356" s="420"/>
      <c r="CJ1356" s="420"/>
      <c r="CK1356" s="420"/>
      <c r="CL1356" s="420"/>
      <c r="CM1356" s="420"/>
      <c r="CN1356" s="420"/>
      <c r="CO1356" s="420"/>
      <c r="CP1356" s="420"/>
      <c r="CQ1356" s="420"/>
      <c r="CR1356" s="420"/>
      <c r="CS1356" s="420"/>
      <c r="CT1356" s="420"/>
      <c r="CU1356" s="420"/>
      <c r="CV1356" s="420"/>
      <c r="CW1356" s="420"/>
      <c r="CX1356" s="420"/>
      <c r="CY1356" s="420"/>
      <c r="CZ1356" s="420"/>
      <c r="DA1356" s="420"/>
      <c r="DB1356" s="420"/>
      <c r="DC1356" s="420"/>
      <c r="DD1356" s="420"/>
      <c r="DE1356" s="420"/>
      <c r="DF1356" s="420"/>
      <c r="DG1356" s="420"/>
      <c r="DH1356" s="420"/>
      <c r="DI1356" s="420"/>
      <c r="DJ1356" s="420"/>
      <c r="DK1356" s="420"/>
      <c r="DL1356" s="420"/>
      <c r="DM1356" s="420"/>
      <c r="DN1356" s="420"/>
      <c r="DO1356" s="420"/>
      <c r="DP1356" s="420"/>
      <c r="DQ1356" s="420"/>
      <c r="DR1356" s="420"/>
      <c r="DS1356" s="420"/>
      <c r="DT1356" s="420"/>
      <c r="DU1356" s="420"/>
      <c r="DV1356" s="420"/>
      <c r="DW1356" s="420"/>
      <c r="DX1356" s="420"/>
      <c r="DY1356" s="420"/>
      <c r="DZ1356" s="420"/>
      <c r="EA1356" s="420"/>
      <c r="EB1356" s="420"/>
      <c r="EC1356" s="420"/>
      <c r="ED1356" s="420"/>
      <c r="EE1356" s="420"/>
      <c r="EF1356" s="420"/>
      <c r="EG1356" s="420"/>
      <c r="EH1356" s="420"/>
      <c r="EI1356" s="420"/>
      <c r="EJ1356" s="420"/>
      <c r="EK1356" s="420"/>
      <c r="EL1356" s="420"/>
      <c r="EM1356" s="420"/>
      <c r="EN1356" s="420"/>
      <c r="EO1356" s="420"/>
      <c r="EP1356" s="420"/>
      <c r="EQ1356" s="420"/>
      <c r="ER1356" s="420"/>
      <c r="ES1356" s="420"/>
      <c r="ET1356" s="420"/>
      <c r="EU1356" s="420"/>
      <c r="EV1356" s="420"/>
      <c r="EW1356" s="420"/>
      <c r="EX1356" s="420"/>
      <c r="EY1356" s="420"/>
      <c r="EZ1356" s="420"/>
      <c r="FA1356" s="420"/>
      <c r="FB1356" s="420"/>
      <c r="FC1356" s="420"/>
      <c r="FD1356" s="420"/>
      <c r="FE1356" s="420"/>
      <c r="FF1356" s="420"/>
      <c r="FG1356" s="420"/>
      <c r="FH1356" s="420"/>
      <c r="FI1356" s="420"/>
      <c r="FJ1356" s="420"/>
      <c r="FK1356" s="420"/>
      <c r="FL1356" s="420"/>
      <c r="FM1356" s="420"/>
      <c r="FN1356" s="420"/>
      <c r="FO1356" s="420"/>
      <c r="FP1356" s="420"/>
      <c r="FQ1356" s="420"/>
      <c r="FR1356" s="420"/>
      <c r="FS1356" s="420"/>
      <c r="FT1356" s="420"/>
      <c r="FU1356" s="420"/>
      <c r="FV1356" s="420"/>
      <c r="FW1356" s="420"/>
      <c r="FX1356" s="420"/>
      <c r="FY1356" s="420"/>
    </row>
    <row r="1357" spans="1:181" s="421" customFormat="1" ht="44.25" customHeight="1">
      <c r="A1357" s="918" t="s">
        <v>1007</v>
      </c>
      <c r="B1357" s="919" t="s">
        <v>1008</v>
      </c>
      <c r="C1357" s="920" t="s">
        <v>350</v>
      </c>
      <c r="D1357" s="921">
        <v>10</v>
      </c>
      <c r="E1357" s="922"/>
      <c r="F1357" s="380">
        <f>D1357*E1357</f>
        <v>0</v>
      </c>
      <c r="G1357" s="420"/>
      <c r="H1357" s="420"/>
      <c r="I1357" s="420"/>
      <c r="J1357" s="420"/>
      <c r="K1357" s="420"/>
      <c r="L1357" s="420"/>
      <c r="M1357" s="420"/>
      <c r="N1357" s="640">
        <f>E1357*1.2</f>
        <v>0</v>
      </c>
      <c r="O1357" s="640">
        <f>N1357*D1357</f>
        <v>0</v>
      </c>
      <c r="P1357" s="420"/>
      <c r="Q1357" s="420"/>
      <c r="R1357" s="420"/>
      <c r="S1357" s="420"/>
      <c r="T1357" s="420"/>
      <c r="U1357" s="420"/>
      <c r="V1357" s="420"/>
      <c r="W1357" s="420"/>
      <c r="X1357" s="420"/>
      <c r="Y1357" s="420"/>
      <c r="Z1357" s="420"/>
      <c r="AA1357" s="420"/>
      <c r="AB1357" s="420"/>
      <c r="AC1357" s="420"/>
      <c r="AD1357" s="420"/>
      <c r="AE1357" s="420"/>
      <c r="AF1357" s="420"/>
      <c r="AG1357" s="420"/>
      <c r="AH1357" s="420"/>
      <c r="AI1357" s="420"/>
      <c r="AJ1357" s="420"/>
      <c r="AK1357" s="420"/>
      <c r="AL1357" s="420"/>
      <c r="AM1357" s="420"/>
      <c r="AN1357" s="420"/>
      <c r="AO1357" s="420"/>
      <c r="AP1357" s="420"/>
      <c r="AQ1357" s="420"/>
      <c r="AR1357" s="420"/>
      <c r="AS1357" s="420"/>
      <c r="AT1357" s="420"/>
      <c r="AU1357" s="420"/>
      <c r="AV1357" s="420"/>
      <c r="AW1357" s="420"/>
      <c r="AX1357" s="420"/>
      <c r="AY1357" s="420"/>
      <c r="AZ1357" s="420"/>
      <c r="BA1357" s="420"/>
      <c r="BB1357" s="420"/>
      <c r="BC1357" s="420"/>
      <c r="BD1357" s="420"/>
      <c r="BE1357" s="420"/>
      <c r="BF1357" s="420"/>
      <c r="BG1357" s="420"/>
      <c r="BH1357" s="420"/>
      <c r="BI1357" s="420"/>
      <c r="BJ1357" s="420"/>
      <c r="BK1357" s="420"/>
      <c r="BL1357" s="420"/>
      <c r="BM1357" s="420"/>
      <c r="BN1357" s="420"/>
      <c r="BO1357" s="420"/>
      <c r="BP1357" s="420"/>
      <c r="BQ1357" s="420"/>
      <c r="BR1357" s="420"/>
      <c r="BS1357" s="420"/>
      <c r="BT1357" s="420"/>
      <c r="BU1357" s="420"/>
      <c r="BV1357" s="420"/>
      <c r="BW1357" s="420"/>
      <c r="BX1357" s="420"/>
      <c r="BY1357" s="420"/>
      <c r="BZ1357" s="420"/>
      <c r="CA1357" s="420"/>
      <c r="CB1357" s="420"/>
      <c r="CC1357" s="420"/>
      <c r="CD1357" s="420"/>
      <c r="CE1357" s="420"/>
      <c r="CF1357" s="420"/>
      <c r="CG1357" s="420"/>
      <c r="CH1357" s="420"/>
      <c r="CI1357" s="420"/>
      <c r="CJ1357" s="420"/>
      <c r="CK1357" s="420"/>
      <c r="CL1357" s="420"/>
      <c r="CM1357" s="420"/>
      <c r="CN1357" s="420"/>
      <c r="CO1357" s="420"/>
      <c r="CP1357" s="420"/>
      <c r="CQ1357" s="420"/>
      <c r="CR1357" s="420"/>
      <c r="CS1357" s="420"/>
      <c r="CT1357" s="420"/>
      <c r="CU1357" s="420"/>
      <c r="CV1357" s="420"/>
      <c r="CW1357" s="420"/>
      <c r="CX1357" s="420"/>
      <c r="CY1357" s="420"/>
      <c r="CZ1357" s="420"/>
      <c r="DA1357" s="420"/>
      <c r="DB1357" s="420"/>
      <c r="DC1357" s="420"/>
      <c r="DD1357" s="420"/>
      <c r="DE1357" s="420"/>
      <c r="DF1357" s="420"/>
      <c r="DG1357" s="420"/>
      <c r="DH1357" s="420"/>
      <c r="DI1357" s="420"/>
      <c r="DJ1357" s="420"/>
      <c r="DK1357" s="420"/>
      <c r="DL1357" s="420"/>
      <c r="DM1357" s="420"/>
      <c r="DN1357" s="420"/>
      <c r="DO1357" s="420"/>
      <c r="DP1357" s="420"/>
      <c r="DQ1357" s="420"/>
      <c r="DR1357" s="420"/>
      <c r="DS1357" s="420"/>
      <c r="DT1357" s="420"/>
      <c r="DU1357" s="420"/>
      <c r="DV1357" s="420"/>
      <c r="DW1357" s="420"/>
      <c r="DX1357" s="420"/>
      <c r="DY1357" s="420"/>
      <c r="DZ1357" s="420"/>
      <c r="EA1357" s="420"/>
      <c r="EB1357" s="420"/>
      <c r="EC1357" s="420"/>
      <c r="ED1357" s="420"/>
      <c r="EE1357" s="420"/>
      <c r="EF1357" s="420"/>
      <c r="EG1357" s="420"/>
      <c r="EH1357" s="420"/>
      <c r="EI1357" s="420"/>
      <c r="EJ1357" s="420"/>
      <c r="EK1357" s="420"/>
      <c r="EL1357" s="420"/>
      <c r="EM1357" s="420"/>
      <c r="EN1357" s="420"/>
      <c r="EO1357" s="420"/>
      <c r="EP1357" s="420"/>
      <c r="EQ1357" s="420"/>
      <c r="ER1357" s="420"/>
      <c r="ES1357" s="420"/>
      <c r="ET1357" s="420"/>
      <c r="EU1357" s="420"/>
      <c r="EV1357" s="420"/>
      <c r="EW1357" s="420"/>
      <c r="EX1357" s="420"/>
      <c r="EY1357" s="420"/>
      <c r="EZ1357" s="420"/>
      <c r="FA1357" s="420"/>
      <c r="FB1357" s="420"/>
      <c r="FC1357" s="420"/>
      <c r="FD1357" s="420"/>
      <c r="FE1357" s="420"/>
      <c r="FF1357" s="420"/>
      <c r="FG1357" s="420"/>
      <c r="FH1357" s="420"/>
      <c r="FI1357" s="420"/>
      <c r="FJ1357" s="420"/>
      <c r="FK1357" s="420"/>
      <c r="FL1357" s="420"/>
      <c r="FM1357" s="420"/>
      <c r="FN1357" s="420"/>
      <c r="FO1357" s="420"/>
      <c r="FP1357" s="420"/>
      <c r="FQ1357" s="420"/>
      <c r="FR1357" s="420"/>
      <c r="FS1357" s="420"/>
      <c r="FT1357" s="420"/>
      <c r="FU1357" s="420"/>
      <c r="FV1357" s="420"/>
      <c r="FW1357" s="420"/>
      <c r="FX1357" s="420"/>
      <c r="FY1357" s="420"/>
    </row>
    <row r="1358" spans="1:181" s="421" customFormat="1" ht="19.5" customHeight="1">
      <c r="A1358" s="918" t="s">
        <v>1009</v>
      </c>
      <c r="B1358" s="919" t="s">
        <v>988</v>
      </c>
      <c r="C1358" s="920" t="s">
        <v>350</v>
      </c>
      <c r="D1358" s="921">
        <v>10</v>
      </c>
      <c r="E1358" s="922"/>
      <c r="F1358" s="380">
        <f>D1358*E1358</f>
        <v>0</v>
      </c>
      <c r="G1358" s="420"/>
      <c r="H1358" s="420"/>
      <c r="I1358" s="420"/>
      <c r="J1358" s="420"/>
      <c r="K1358" s="420"/>
      <c r="L1358" s="420"/>
      <c r="M1358" s="420"/>
      <c r="N1358" s="640">
        <f>E1358*1.2</f>
        <v>0</v>
      </c>
      <c r="O1358" s="640">
        <f>N1358*D1358</f>
        <v>0</v>
      </c>
      <c r="P1358" s="420"/>
      <c r="Q1358" s="420"/>
      <c r="R1358" s="420"/>
      <c r="S1358" s="420"/>
      <c r="T1358" s="420"/>
      <c r="U1358" s="420"/>
      <c r="V1358" s="420"/>
      <c r="W1358" s="420"/>
      <c r="X1358" s="420"/>
      <c r="Y1358" s="420"/>
      <c r="Z1358" s="420"/>
      <c r="AA1358" s="420"/>
      <c r="AB1358" s="420"/>
      <c r="AC1358" s="420"/>
      <c r="AD1358" s="420"/>
      <c r="AE1358" s="420"/>
      <c r="AF1358" s="420"/>
      <c r="AG1358" s="420"/>
      <c r="AH1358" s="420"/>
      <c r="AI1358" s="420"/>
      <c r="AJ1358" s="420"/>
      <c r="AK1358" s="420"/>
      <c r="AL1358" s="420"/>
      <c r="AM1358" s="420"/>
      <c r="AN1358" s="420"/>
      <c r="AO1358" s="420"/>
      <c r="AP1358" s="420"/>
      <c r="AQ1358" s="420"/>
      <c r="AR1358" s="420"/>
      <c r="AS1358" s="420"/>
      <c r="AT1358" s="420"/>
      <c r="AU1358" s="420"/>
      <c r="AV1358" s="420"/>
      <c r="AW1358" s="420"/>
      <c r="AX1358" s="420"/>
      <c r="AY1358" s="420"/>
      <c r="AZ1358" s="420"/>
      <c r="BA1358" s="420"/>
      <c r="BB1358" s="420"/>
      <c r="BC1358" s="420"/>
      <c r="BD1358" s="420"/>
      <c r="BE1358" s="420"/>
      <c r="BF1358" s="420"/>
      <c r="BG1358" s="420"/>
      <c r="BH1358" s="420"/>
      <c r="BI1358" s="420"/>
      <c r="BJ1358" s="420"/>
      <c r="BK1358" s="420"/>
      <c r="BL1358" s="420"/>
      <c r="BM1358" s="420"/>
      <c r="BN1358" s="420"/>
      <c r="BO1358" s="420"/>
      <c r="BP1358" s="420"/>
      <c r="BQ1358" s="420"/>
      <c r="BR1358" s="420"/>
      <c r="BS1358" s="420"/>
      <c r="BT1358" s="420"/>
      <c r="BU1358" s="420"/>
      <c r="BV1358" s="420"/>
      <c r="BW1358" s="420"/>
      <c r="BX1358" s="420"/>
      <c r="BY1358" s="420"/>
      <c r="BZ1358" s="420"/>
      <c r="CA1358" s="420"/>
      <c r="CB1358" s="420"/>
      <c r="CC1358" s="420"/>
      <c r="CD1358" s="420"/>
      <c r="CE1358" s="420"/>
      <c r="CF1358" s="420"/>
      <c r="CG1358" s="420"/>
      <c r="CH1358" s="420"/>
      <c r="CI1358" s="420"/>
      <c r="CJ1358" s="420"/>
      <c r="CK1358" s="420"/>
      <c r="CL1358" s="420"/>
      <c r="CM1358" s="420"/>
      <c r="CN1358" s="420"/>
      <c r="CO1358" s="420"/>
      <c r="CP1358" s="420"/>
      <c r="CQ1358" s="420"/>
      <c r="CR1358" s="420"/>
      <c r="CS1358" s="420"/>
      <c r="CT1358" s="420"/>
      <c r="CU1358" s="420"/>
      <c r="CV1358" s="420"/>
      <c r="CW1358" s="420"/>
      <c r="CX1358" s="420"/>
      <c r="CY1358" s="420"/>
      <c r="CZ1358" s="420"/>
      <c r="DA1358" s="420"/>
      <c r="DB1358" s="420"/>
      <c r="DC1358" s="420"/>
      <c r="DD1358" s="420"/>
      <c r="DE1358" s="420"/>
      <c r="DF1358" s="420"/>
      <c r="DG1358" s="420"/>
      <c r="DH1358" s="420"/>
      <c r="DI1358" s="420"/>
      <c r="DJ1358" s="420"/>
      <c r="DK1358" s="420"/>
      <c r="DL1358" s="420"/>
      <c r="DM1358" s="420"/>
      <c r="DN1358" s="420"/>
      <c r="DO1358" s="420"/>
      <c r="DP1358" s="420"/>
      <c r="DQ1358" s="420"/>
      <c r="DR1358" s="420"/>
      <c r="DS1358" s="420"/>
      <c r="DT1358" s="420"/>
      <c r="DU1358" s="420"/>
      <c r="DV1358" s="420"/>
      <c r="DW1358" s="420"/>
      <c r="DX1358" s="420"/>
      <c r="DY1358" s="420"/>
      <c r="DZ1358" s="420"/>
      <c r="EA1358" s="420"/>
      <c r="EB1358" s="420"/>
      <c r="EC1358" s="420"/>
      <c r="ED1358" s="420"/>
      <c r="EE1358" s="420"/>
      <c r="EF1358" s="420"/>
      <c r="EG1358" s="420"/>
      <c r="EH1358" s="420"/>
      <c r="EI1358" s="420"/>
      <c r="EJ1358" s="420"/>
      <c r="EK1358" s="420"/>
      <c r="EL1358" s="420"/>
      <c r="EM1358" s="420"/>
      <c r="EN1358" s="420"/>
      <c r="EO1358" s="420"/>
      <c r="EP1358" s="420"/>
      <c r="EQ1358" s="420"/>
      <c r="ER1358" s="420"/>
      <c r="ES1358" s="420"/>
      <c r="ET1358" s="420"/>
      <c r="EU1358" s="420"/>
      <c r="EV1358" s="420"/>
      <c r="EW1358" s="420"/>
      <c r="EX1358" s="420"/>
      <c r="EY1358" s="420"/>
      <c r="EZ1358" s="420"/>
      <c r="FA1358" s="420"/>
      <c r="FB1358" s="420"/>
      <c r="FC1358" s="420"/>
      <c r="FD1358" s="420"/>
      <c r="FE1358" s="420"/>
      <c r="FF1358" s="420"/>
      <c r="FG1358" s="420"/>
      <c r="FH1358" s="420"/>
      <c r="FI1358" s="420"/>
      <c r="FJ1358" s="420"/>
      <c r="FK1358" s="420"/>
      <c r="FL1358" s="420"/>
      <c r="FM1358" s="420"/>
      <c r="FN1358" s="420"/>
      <c r="FO1358" s="420"/>
      <c r="FP1358" s="420"/>
      <c r="FQ1358" s="420"/>
      <c r="FR1358" s="420"/>
      <c r="FS1358" s="420"/>
      <c r="FT1358" s="420"/>
      <c r="FU1358" s="420"/>
      <c r="FV1358" s="420"/>
      <c r="FW1358" s="420"/>
      <c r="FX1358" s="420"/>
      <c r="FY1358" s="420"/>
    </row>
    <row r="1359" spans="1:181" s="421" customFormat="1" ht="19.5" customHeight="1">
      <c r="A1359" s="918" t="s">
        <v>1010</v>
      </c>
      <c r="B1359" s="919" t="s">
        <v>990</v>
      </c>
      <c r="C1359" s="920" t="s">
        <v>350</v>
      </c>
      <c r="D1359" s="921">
        <v>10</v>
      </c>
      <c r="E1359" s="922"/>
      <c r="F1359" s="380">
        <f>D1359*E1359</f>
        <v>0</v>
      </c>
      <c r="G1359" s="420"/>
      <c r="H1359" s="420"/>
      <c r="I1359" s="420"/>
      <c r="J1359" s="420"/>
      <c r="K1359" s="420"/>
      <c r="L1359" s="420"/>
      <c r="M1359" s="420"/>
      <c r="N1359" s="640">
        <f>E1359*1.2</f>
        <v>0</v>
      </c>
      <c r="O1359" s="640">
        <f>N1359*D1359</f>
        <v>0</v>
      </c>
      <c r="P1359" s="420"/>
      <c r="Q1359" s="420"/>
      <c r="R1359" s="420"/>
      <c r="S1359" s="420"/>
      <c r="T1359" s="420"/>
      <c r="U1359" s="420"/>
      <c r="V1359" s="420"/>
      <c r="W1359" s="420"/>
      <c r="X1359" s="420"/>
      <c r="Y1359" s="420"/>
      <c r="Z1359" s="420"/>
      <c r="AA1359" s="420"/>
      <c r="AB1359" s="420"/>
      <c r="AC1359" s="420"/>
      <c r="AD1359" s="420"/>
      <c r="AE1359" s="420"/>
      <c r="AF1359" s="420"/>
      <c r="AG1359" s="420"/>
      <c r="AH1359" s="420"/>
      <c r="AI1359" s="420"/>
      <c r="AJ1359" s="420"/>
      <c r="AK1359" s="420"/>
      <c r="AL1359" s="420"/>
      <c r="AM1359" s="420"/>
      <c r="AN1359" s="420"/>
      <c r="AO1359" s="420"/>
      <c r="AP1359" s="420"/>
      <c r="AQ1359" s="420"/>
      <c r="AR1359" s="420"/>
      <c r="AS1359" s="420"/>
      <c r="AT1359" s="420"/>
      <c r="AU1359" s="420"/>
      <c r="AV1359" s="420"/>
      <c r="AW1359" s="420"/>
      <c r="AX1359" s="420"/>
      <c r="AY1359" s="420"/>
      <c r="AZ1359" s="420"/>
      <c r="BA1359" s="420"/>
      <c r="BB1359" s="420"/>
      <c r="BC1359" s="420"/>
      <c r="BD1359" s="420"/>
      <c r="BE1359" s="420"/>
      <c r="BF1359" s="420"/>
      <c r="BG1359" s="420"/>
      <c r="BH1359" s="420"/>
      <c r="BI1359" s="420"/>
      <c r="BJ1359" s="420"/>
      <c r="BK1359" s="420"/>
      <c r="BL1359" s="420"/>
      <c r="BM1359" s="420"/>
      <c r="BN1359" s="420"/>
      <c r="BO1359" s="420"/>
      <c r="BP1359" s="420"/>
      <c r="BQ1359" s="420"/>
      <c r="BR1359" s="420"/>
      <c r="BS1359" s="420"/>
      <c r="BT1359" s="420"/>
      <c r="BU1359" s="420"/>
      <c r="BV1359" s="420"/>
      <c r="BW1359" s="420"/>
      <c r="BX1359" s="420"/>
      <c r="BY1359" s="420"/>
      <c r="BZ1359" s="420"/>
      <c r="CA1359" s="420"/>
      <c r="CB1359" s="420"/>
      <c r="CC1359" s="420"/>
      <c r="CD1359" s="420"/>
      <c r="CE1359" s="420"/>
      <c r="CF1359" s="420"/>
      <c r="CG1359" s="420"/>
      <c r="CH1359" s="420"/>
      <c r="CI1359" s="420"/>
      <c r="CJ1359" s="420"/>
      <c r="CK1359" s="420"/>
      <c r="CL1359" s="420"/>
      <c r="CM1359" s="420"/>
      <c r="CN1359" s="420"/>
      <c r="CO1359" s="420"/>
      <c r="CP1359" s="420"/>
      <c r="CQ1359" s="420"/>
      <c r="CR1359" s="420"/>
      <c r="CS1359" s="420"/>
      <c r="CT1359" s="420"/>
      <c r="CU1359" s="420"/>
      <c r="CV1359" s="420"/>
      <c r="CW1359" s="420"/>
      <c r="CX1359" s="420"/>
      <c r="CY1359" s="420"/>
      <c r="CZ1359" s="420"/>
      <c r="DA1359" s="420"/>
      <c r="DB1359" s="420"/>
      <c r="DC1359" s="420"/>
      <c r="DD1359" s="420"/>
      <c r="DE1359" s="420"/>
      <c r="DF1359" s="420"/>
      <c r="DG1359" s="420"/>
      <c r="DH1359" s="420"/>
      <c r="DI1359" s="420"/>
      <c r="DJ1359" s="420"/>
      <c r="DK1359" s="420"/>
      <c r="DL1359" s="420"/>
      <c r="DM1359" s="420"/>
      <c r="DN1359" s="420"/>
      <c r="DO1359" s="420"/>
      <c r="DP1359" s="420"/>
      <c r="DQ1359" s="420"/>
      <c r="DR1359" s="420"/>
      <c r="DS1359" s="420"/>
      <c r="DT1359" s="420"/>
      <c r="DU1359" s="420"/>
      <c r="DV1359" s="420"/>
      <c r="DW1359" s="420"/>
      <c r="DX1359" s="420"/>
      <c r="DY1359" s="420"/>
      <c r="DZ1359" s="420"/>
      <c r="EA1359" s="420"/>
      <c r="EB1359" s="420"/>
      <c r="EC1359" s="420"/>
      <c r="ED1359" s="420"/>
      <c r="EE1359" s="420"/>
      <c r="EF1359" s="420"/>
      <c r="EG1359" s="420"/>
      <c r="EH1359" s="420"/>
      <c r="EI1359" s="420"/>
      <c r="EJ1359" s="420"/>
      <c r="EK1359" s="420"/>
      <c r="EL1359" s="420"/>
      <c r="EM1359" s="420"/>
      <c r="EN1359" s="420"/>
      <c r="EO1359" s="420"/>
      <c r="EP1359" s="420"/>
      <c r="EQ1359" s="420"/>
      <c r="ER1359" s="420"/>
      <c r="ES1359" s="420"/>
      <c r="ET1359" s="420"/>
      <c r="EU1359" s="420"/>
      <c r="EV1359" s="420"/>
      <c r="EW1359" s="420"/>
      <c r="EX1359" s="420"/>
      <c r="EY1359" s="420"/>
      <c r="EZ1359" s="420"/>
      <c r="FA1359" s="420"/>
      <c r="FB1359" s="420"/>
      <c r="FC1359" s="420"/>
      <c r="FD1359" s="420"/>
      <c r="FE1359" s="420"/>
      <c r="FF1359" s="420"/>
      <c r="FG1359" s="420"/>
      <c r="FH1359" s="420"/>
      <c r="FI1359" s="420"/>
      <c r="FJ1359" s="420"/>
      <c r="FK1359" s="420"/>
      <c r="FL1359" s="420"/>
      <c r="FM1359" s="420"/>
      <c r="FN1359" s="420"/>
      <c r="FO1359" s="420"/>
      <c r="FP1359" s="420"/>
      <c r="FQ1359" s="420"/>
      <c r="FR1359" s="420"/>
      <c r="FS1359" s="420"/>
      <c r="FT1359" s="420"/>
      <c r="FU1359" s="420"/>
      <c r="FV1359" s="420"/>
      <c r="FW1359" s="420"/>
      <c r="FX1359" s="420"/>
      <c r="FY1359" s="420"/>
    </row>
    <row r="1360" spans="1:181" s="421" customFormat="1" ht="20.25" customHeight="1">
      <c r="A1360" s="954"/>
      <c r="B1360" s="955" t="s">
        <v>933</v>
      </c>
      <c r="C1360" s="956"/>
      <c r="D1360" s="956"/>
      <c r="E1360" s="956"/>
      <c r="F1360" s="956"/>
      <c r="G1360" s="420"/>
      <c r="H1360" s="420"/>
      <c r="I1360" s="420"/>
      <c r="J1360" s="420"/>
      <c r="K1360" s="420"/>
      <c r="L1360" s="420"/>
      <c r="M1360" s="420"/>
      <c r="N1360" s="646"/>
      <c r="O1360" s="640"/>
      <c r="P1360" s="420"/>
      <c r="Q1360" s="420"/>
      <c r="R1360" s="420"/>
      <c r="S1360" s="420"/>
      <c r="T1360" s="420"/>
      <c r="U1360" s="420"/>
      <c r="V1360" s="420"/>
      <c r="W1360" s="420"/>
      <c r="X1360" s="420"/>
      <c r="Y1360" s="420"/>
      <c r="Z1360" s="420"/>
      <c r="AA1360" s="420"/>
      <c r="AB1360" s="420"/>
      <c r="AC1360" s="420"/>
      <c r="AD1360" s="420"/>
      <c r="AE1360" s="420"/>
      <c r="AF1360" s="420"/>
      <c r="AG1360" s="420"/>
      <c r="AH1360" s="420"/>
      <c r="AI1360" s="420"/>
      <c r="AJ1360" s="420"/>
      <c r="AK1360" s="420"/>
      <c r="AL1360" s="420"/>
      <c r="AM1360" s="420"/>
      <c r="AN1360" s="420"/>
      <c r="AO1360" s="420"/>
      <c r="AP1360" s="420"/>
      <c r="AQ1360" s="420"/>
      <c r="AR1360" s="420"/>
      <c r="AS1360" s="420"/>
      <c r="AT1360" s="420"/>
      <c r="AU1360" s="420"/>
      <c r="AV1360" s="420"/>
      <c r="AW1360" s="420"/>
      <c r="AX1360" s="420"/>
      <c r="AY1360" s="420"/>
      <c r="AZ1360" s="420"/>
      <c r="BA1360" s="420"/>
      <c r="BB1360" s="420"/>
      <c r="BC1360" s="420"/>
      <c r="BD1360" s="420"/>
      <c r="BE1360" s="420"/>
      <c r="BF1360" s="420"/>
      <c r="BG1360" s="420"/>
      <c r="BH1360" s="420"/>
      <c r="BI1360" s="420"/>
      <c r="BJ1360" s="420"/>
      <c r="BK1360" s="420"/>
      <c r="BL1360" s="420"/>
      <c r="BM1360" s="420"/>
      <c r="BN1360" s="420"/>
      <c r="BO1360" s="420"/>
      <c r="BP1360" s="420"/>
      <c r="BQ1360" s="420"/>
      <c r="BR1360" s="420"/>
      <c r="BS1360" s="420"/>
      <c r="BT1360" s="420"/>
      <c r="BU1360" s="420"/>
      <c r="BV1360" s="420"/>
      <c r="BW1360" s="420"/>
      <c r="BX1360" s="420"/>
      <c r="BY1360" s="420"/>
      <c r="BZ1360" s="420"/>
      <c r="CA1360" s="420"/>
      <c r="CB1360" s="420"/>
      <c r="CC1360" s="420"/>
      <c r="CD1360" s="420"/>
      <c r="CE1360" s="420"/>
      <c r="CF1360" s="420"/>
      <c r="CG1360" s="420"/>
      <c r="CH1360" s="420"/>
      <c r="CI1360" s="420"/>
      <c r="CJ1360" s="420"/>
      <c r="CK1360" s="420"/>
      <c r="CL1360" s="420"/>
      <c r="CM1360" s="420"/>
      <c r="CN1360" s="420"/>
      <c r="CO1360" s="420"/>
      <c r="CP1360" s="420"/>
      <c r="CQ1360" s="420"/>
      <c r="CR1360" s="420"/>
      <c r="CS1360" s="420"/>
      <c r="CT1360" s="420"/>
      <c r="CU1360" s="420"/>
      <c r="CV1360" s="420"/>
      <c r="CW1360" s="420"/>
      <c r="CX1360" s="420"/>
      <c r="CY1360" s="420"/>
      <c r="CZ1360" s="420"/>
      <c r="DA1360" s="420"/>
      <c r="DB1360" s="420"/>
      <c r="DC1360" s="420"/>
      <c r="DD1360" s="420"/>
      <c r="DE1360" s="420"/>
      <c r="DF1360" s="420"/>
      <c r="DG1360" s="420"/>
      <c r="DH1360" s="420"/>
      <c r="DI1360" s="420"/>
      <c r="DJ1360" s="420"/>
      <c r="DK1360" s="420"/>
      <c r="DL1360" s="420"/>
      <c r="DM1360" s="420"/>
      <c r="DN1360" s="420"/>
      <c r="DO1360" s="420"/>
      <c r="DP1360" s="420"/>
      <c r="DQ1360" s="420"/>
      <c r="DR1360" s="420"/>
      <c r="DS1360" s="420"/>
      <c r="DT1360" s="420"/>
      <c r="DU1360" s="420"/>
      <c r="DV1360" s="420"/>
      <c r="DW1360" s="420"/>
      <c r="DX1360" s="420"/>
      <c r="DY1360" s="420"/>
      <c r="DZ1360" s="420"/>
      <c r="EA1360" s="420"/>
      <c r="EB1360" s="420"/>
      <c r="EC1360" s="420"/>
      <c r="ED1360" s="420"/>
      <c r="EE1360" s="420"/>
      <c r="EF1360" s="420"/>
      <c r="EG1360" s="420"/>
      <c r="EH1360" s="420"/>
      <c r="EI1360" s="420"/>
      <c r="EJ1360" s="420"/>
      <c r="EK1360" s="420"/>
      <c r="EL1360" s="420"/>
      <c r="EM1360" s="420"/>
      <c r="EN1360" s="420"/>
      <c r="EO1360" s="420"/>
      <c r="EP1360" s="420"/>
      <c r="EQ1360" s="420"/>
      <c r="ER1360" s="420"/>
      <c r="ES1360" s="420"/>
      <c r="ET1360" s="420"/>
      <c r="EU1360" s="420"/>
      <c r="EV1360" s="420"/>
      <c r="EW1360" s="420"/>
      <c r="EX1360" s="420"/>
      <c r="EY1360" s="420"/>
      <c r="EZ1360" s="420"/>
      <c r="FA1360" s="420"/>
      <c r="FB1360" s="420"/>
      <c r="FC1360" s="420"/>
      <c r="FD1360" s="420"/>
      <c r="FE1360" s="420"/>
      <c r="FF1360" s="420"/>
      <c r="FG1360" s="420"/>
      <c r="FH1360" s="420"/>
      <c r="FI1360" s="420"/>
      <c r="FJ1360" s="420"/>
      <c r="FK1360" s="420"/>
      <c r="FL1360" s="420"/>
      <c r="FM1360" s="420"/>
      <c r="FN1360" s="420"/>
      <c r="FO1360" s="420"/>
      <c r="FP1360" s="420"/>
      <c r="FQ1360" s="420"/>
      <c r="FR1360" s="420"/>
      <c r="FS1360" s="420"/>
      <c r="FT1360" s="420"/>
      <c r="FU1360" s="420"/>
      <c r="FV1360" s="420"/>
      <c r="FW1360" s="420"/>
      <c r="FX1360" s="420"/>
      <c r="FY1360" s="420"/>
    </row>
    <row r="1361" spans="1:181" s="421" customFormat="1" ht="19.5" customHeight="1">
      <c r="A1361" s="918" t="s">
        <v>1011</v>
      </c>
      <c r="B1361" s="927" t="s">
        <v>970</v>
      </c>
      <c r="C1361" s="920" t="s">
        <v>863</v>
      </c>
      <c r="D1361" s="921">
        <v>1</v>
      </c>
      <c r="E1361" s="922"/>
      <c r="F1361" s="380">
        <f>D1361*E1361</f>
        <v>0</v>
      </c>
      <c r="G1361" s="420"/>
      <c r="H1361" s="420"/>
      <c r="I1361" s="420"/>
      <c r="J1361" s="420"/>
      <c r="K1361" s="420"/>
      <c r="L1361" s="420"/>
      <c r="M1361" s="420"/>
      <c r="N1361" s="640">
        <f>E1361*1.2</f>
        <v>0</v>
      </c>
      <c r="O1361" s="640">
        <f>N1361*D1361</f>
        <v>0</v>
      </c>
      <c r="P1361" s="420"/>
      <c r="Q1361" s="420"/>
      <c r="R1361" s="420"/>
      <c r="S1361" s="420"/>
      <c r="T1361" s="420"/>
      <c r="U1361" s="420"/>
      <c r="V1361" s="420"/>
      <c r="W1361" s="420"/>
      <c r="X1361" s="420"/>
      <c r="Y1361" s="420"/>
      <c r="Z1361" s="420"/>
      <c r="AA1361" s="420"/>
      <c r="AB1361" s="420"/>
      <c r="AC1361" s="420"/>
      <c r="AD1361" s="420"/>
      <c r="AE1361" s="420"/>
      <c r="AF1361" s="420"/>
      <c r="AG1361" s="420"/>
      <c r="AH1361" s="420"/>
      <c r="AI1361" s="420"/>
      <c r="AJ1361" s="420"/>
      <c r="AK1361" s="420"/>
      <c r="AL1361" s="420"/>
      <c r="AM1361" s="420"/>
      <c r="AN1361" s="420"/>
      <c r="AO1361" s="420"/>
      <c r="AP1361" s="420"/>
      <c r="AQ1361" s="420"/>
      <c r="AR1361" s="420"/>
      <c r="AS1361" s="420"/>
      <c r="AT1361" s="420"/>
      <c r="AU1361" s="420"/>
      <c r="AV1361" s="420"/>
      <c r="AW1361" s="420"/>
      <c r="AX1361" s="420"/>
      <c r="AY1361" s="420"/>
      <c r="AZ1361" s="420"/>
      <c r="BA1361" s="420"/>
      <c r="BB1361" s="420"/>
      <c r="BC1361" s="420"/>
      <c r="BD1361" s="420"/>
      <c r="BE1361" s="420"/>
      <c r="BF1361" s="420"/>
      <c r="BG1361" s="420"/>
      <c r="BH1361" s="420"/>
      <c r="BI1361" s="420"/>
      <c r="BJ1361" s="420"/>
      <c r="BK1361" s="420"/>
      <c r="BL1361" s="420"/>
      <c r="BM1361" s="420"/>
      <c r="BN1361" s="420"/>
      <c r="BO1361" s="420"/>
      <c r="BP1361" s="420"/>
      <c r="BQ1361" s="420"/>
      <c r="BR1361" s="420"/>
      <c r="BS1361" s="420"/>
      <c r="BT1361" s="420"/>
      <c r="BU1361" s="420"/>
      <c r="BV1361" s="420"/>
      <c r="BW1361" s="420"/>
      <c r="BX1361" s="420"/>
      <c r="BY1361" s="420"/>
      <c r="BZ1361" s="420"/>
      <c r="CA1361" s="420"/>
      <c r="CB1361" s="420"/>
      <c r="CC1361" s="420"/>
      <c r="CD1361" s="420"/>
      <c r="CE1361" s="420"/>
      <c r="CF1361" s="420"/>
      <c r="CG1361" s="420"/>
      <c r="CH1361" s="420"/>
      <c r="CI1361" s="420"/>
      <c r="CJ1361" s="420"/>
      <c r="CK1361" s="420"/>
      <c r="CL1361" s="420"/>
      <c r="CM1361" s="420"/>
      <c r="CN1361" s="420"/>
      <c r="CO1361" s="420"/>
      <c r="CP1361" s="420"/>
      <c r="CQ1361" s="420"/>
      <c r="CR1361" s="420"/>
      <c r="CS1361" s="420"/>
      <c r="CT1361" s="420"/>
      <c r="CU1361" s="420"/>
      <c r="CV1361" s="420"/>
      <c r="CW1361" s="420"/>
      <c r="CX1361" s="420"/>
      <c r="CY1361" s="420"/>
      <c r="CZ1361" s="420"/>
      <c r="DA1361" s="420"/>
      <c r="DB1361" s="420"/>
      <c r="DC1361" s="420"/>
      <c r="DD1361" s="420"/>
      <c r="DE1361" s="420"/>
      <c r="DF1361" s="420"/>
      <c r="DG1361" s="420"/>
      <c r="DH1361" s="420"/>
      <c r="DI1361" s="420"/>
      <c r="DJ1361" s="420"/>
      <c r="DK1361" s="420"/>
      <c r="DL1361" s="420"/>
      <c r="DM1361" s="420"/>
      <c r="DN1361" s="420"/>
      <c r="DO1361" s="420"/>
      <c r="DP1361" s="420"/>
      <c r="DQ1361" s="420"/>
      <c r="DR1361" s="420"/>
      <c r="DS1361" s="420"/>
      <c r="DT1361" s="420"/>
      <c r="DU1361" s="420"/>
      <c r="DV1361" s="420"/>
      <c r="DW1361" s="420"/>
      <c r="DX1361" s="420"/>
      <c r="DY1361" s="420"/>
      <c r="DZ1361" s="420"/>
      <c r="EA1361" s="420"/>
      <c r="EB1361" s="420"/>
      <c r="EC1361" s="420"/>
      <c r="ED1361" s="420"/>
      <c r="EE1361" s="420"/>
      <c r="EF1361" s="420"/>
      <c r="EG1361" s="420"/>
      <c r="EH1361" s="420"/>
      <c r="EI1361" s="420"/>
      <c r="EJ1361" s="420"/>
      <c r="EK1361" s="420"/>
      <c r="EL1361" s="420"/>
      <c r="EM1361" s="420"/>
      <c r="EN1361" s="420"/>
      <c r="EO1361" s="420"/>
      <c r="EP1361" s="420"/>
      <c r="EQ1361" s="420"/>
      <c r="ER1361" s="420"/>
      <c r="ES1361" s="420"/>
      <c r="ET1361" s="420"/>
      <c r="EU1361" s="420"/>
      <c r="EV1361" s="420"/>
      <c r="EW1361" s="420"/>
      <c r="EX1361" s="420"/>
      <c r="EY1361" s="420"/>
      <c r="EZ1361" s="420"/>
      <c r="FA1361" s="420"/>
      <c r="FB1361" s="420"/>
      <c r="FC1361" s="420"/>
      <c r="FD1361" s="420"/>
      <c r="FE1361" s="420"/>
      <c r="FF1361" s="420"/>
      <c r="FG1361" s="420"/>
      <c r="FH1361" s="420"/>
      <c r="FI1361" s="420"/>
      <c r="FJ1361" s="420"/>
      <c r="FK1361" s="420"/>
      <c r="FL1361" s="420"/>
      <c r="FM1361" s="420"/>
      <c r="FN1361" s="420"/>
      <c r="FO1361" s="420"/>
      <c r="FP1361" s="420"/>
      <c r="FQ1361" s="420"/>
      <c r="FR1361" s="420"/>
      <c r="FS1361" s="420"/>
      <c r="FT1361" s="420"/>
      <c r="FU1361" s="420"/>
      <c r="FV1361" s="420"/>
      <c r="FW1361" s="420"/>
      <c r="FX1361" s="420"/>
      <c r="FY1361" s="420"/>
    </row>
    <row r="1362" spans="1:181" s="421" customFormat="1" ht="80.25" customHeight="1">
      <c r="A1362" s="918" t="s">
        <v>1012</v>
      </c>
      <c r="B1362" s="927" t="s">
        <v>1013</v>
      </c>
      <c r="C1362" s="920" t="s">
        <v>47</v>
      </c>
      <c r="D1362" s="921">
        <v>1</v>
      </c>
      <c r="E1362" s="922"/>
      <c r="F1362" s="380">
        <f>D1362*E1362</f>
        <v>0</v>
      </c>
      <c r="G1362" s="420"/>
      <c r="H1362" s="420"/>
      <c r="I1362" s="420"/>
      <c r="J1362" s="420"/>
      <c r="K1362" s="420"/>
      <c r="L1362" s="420"/>
      <c r="M1362" s="420"/>
      <c r="N1362" s="640">
        <f>E1362*1.2</f>
        <v>0</v>
      </c>
      <c r="O1362" s="640">
        <f>N1362*D1362</f>
        <v>0</v>
      </c>
      <c r="P1362" s="420"/>
      <c r="Q1362" s="420"/>
      <c r="R1362" s="420"/>
      <c r="S1362" s="420"/>
      <c r="T1362" s="420"/>
      <c r="U1362" s="420"/>
      <c r="V1362" s="420"/>
      <c r="W1362" s="420"/>
      <c r="X1362" s="420"/>
      <c r="Y1362" s="420"/>
      <c r="Z1362" s="420"/>
      <c r="AA1362" s="420"/>
      <c r="AB1362" s="420"/>
      <c r="AC1362" s="420"/>
      <c r="AD1362" s="420"/>
      <c r="AE1362" s="420"/>
      <c r="AF1362" s="420"/>
      <c r="AG1362" s="420"/>
      <c r="AH1362" s="420"/>
      <c r="AI1362" s="420"/>
      <c r="AJ1362" s="420"/>
      <c r="AK1362" s="420"/>
      <c r="AL1362" s="420"/>
      <c r="AM1362" s="420"/>
      <c r="AN1362" s="420"/>
      <c r="AO1362" s="420"/>
      <c r="AP1362" s="420"/>
      <c r="AQ1362" s="420"/>
      <c r="AR1362" s="420"/>
      <c r="AS1362" s="420"/>
      <c r="AT1362" s="420"/>
      <c r="AU1362" s="420"/>
      <c r="AV1362" s="420"/>
      <c r="AW1362" s="420"/>
      <c r="AX1362" s="420"/>
      <c r="AY1362" s="420"/>
      <c r="AZ1362" s="420"/>
      <c r="BA1362" s="420"/>
      <c r="BB1362" s="420"/>
      <c r="BC1362" s="420"/>
      <c r="BD1362" s="420"/>
      <c r="BE1362" s="420"/>
      <c r="BF1362" s="420"/>
      <c r="BG1362" s="420"/>
      <c r="BH1362" s="420"/>
      <c r="BI1362" s="420"/>
      <c r="BJ1362" s="420"/>
      <c r="BK1362" s="420"/>
      <c r="BL1362" s="420"/>
      <c r="BM1362" s="420"/>
      <c r="BN1362" s="420"/>
      <c r="BO1362" s="420"/>
      <c r="BP1362" s="420"/>
      <c r="BQ1362" s="420"/>
      <c r="BR1362" s="420"/>
      <c r="BS1362" s="420"/>
      <c r="BT1362" s="420"/>
      <c r="BU1362" s="420"/>
      <c r="BV1362" s="420"/>
      <c r="BW1362" s="420"/>
      <c r="BX1362" s="420"/>
      <c r="BY1362" s="420"/>
      <c r="BZ1362" s="420"/>
      <c r="CA1362" s="420"/>
      <c r="CB1362" s="420"/>
      <c r="CC1362" s="420"/>
      <c r="CD1362" s="420"/>
      <c r="CE1362" s="420"/>
      <c r="CF1362" s="420"/>
      <c r="CG1362" s="420"/>
      <c r="CH1362" s="420"/>
      <c r="CI1362" s="420"/>
      <c r="CJ1362" s="420"/>
      <c r="CK1362" s="420"/>
      <c r="CL1362" s="420"/>
      <c r="CM1362" s="420"/>
      <c r="CN1362" s="420"/>
      <c r="CO1362" s="420"/>
      <c r="CP1362" s="420"/>
      <c r="CQ1362" s="420"/>
      <c r="CR1362" s="420"/>
      <c r="CS1362" s="420"/>
      <c r="CT1362" s="420"/>
      <c r="CU1362" s="420"/>
      <c r="CV1362" s="420"/>
      <c r="CW1362" s="420"/>
      <c r="CX1362" s="420"/>
      <c r="CY1362" s="420"/>
      <c r="CZ1362" s="420"/>
      <c r="DA1362" s="420"/>
      <c r="DB1362" s="420"/>
      <c r="DC1362" s="420"/>
      <c r="DD1362" s="420"/>
      <c r="DE1362" s="420"/>
      <c r="DF1362" s="420"/>
      <c r="DG1362" s="420"/>
      <c r="DH1362" s="420"/>
      <c r="DI1362" s="420"/>
      <c r="DJ1362" s="420"/>
      <c r="DK1362" s="420"/>
      <c r="DL1362" s="420"/>
      <c r="DM1362" s="420"/>
      <c r="DN1362" s="420"/>
      <c r="DO1362" s="420"/>
      <c r="DP1362" s="420"/>
      <c r="DQ1362" s="420"/>
      <c r="DR1362" s="420"/>
      <c r="DS1362" s="420"/>
      <c r="DT1362" s="420"/>
      <c r="DU1362" s="420"/>
      <c r="DV1362" s="420"/>
      <c r="DW1362" s="420"/>
      <c r="DX1362" s="420"/>
      <c r="DY1362" s="420"/>
      <c r="DZ1362" s="420"/>
      <c r="EA1362" s="420"/>
      <c r="EB1362" s="420"/>
      <c r="EC1362" s="420"/>
      <c r="ED1362" s="420"/>
      <c r="EE1362" s="420"/>
      <c r="EF1362" s="420"/>
      <c r="EG1362" s="420"/>
      <c r="EH1362" s="420"/>
      <c r="EI1362" s="420"/>
      <c r="EJ1362" s="420"/>
      <c r="EK1362" s="420"/>
      <c r="EL1362" s="420"/>
      <c r="EM1362" s="420"/>
      <c r="EN1362" s="420"/>
      <c r="EO1362" s="420"/>
      <c r="EP1362" s="420"/>
      <c r="EQ1362" s="420"/>
      <c r="ER1362" s="420"/>
      <c r="ES1362" s="420"/>
      <c r="ET1362" s="420"/>
      <c r="EU1362" s="420"/>
      <c r="EV1362" s="420"/>
      <c r="EW1362" s="420"/>
      <c r="EX1362" s="420"/>
      <c r="EY1362" s="420"/>
      <c r="EZ1362" s="420"/>
      <c r="FA1362" s="420"/>
      <c r="FB1362" s="420"/>
      <c r="FC1362" s="420"/>
      <c r="FD1362" s="420"/>
      <c r="FE1362" s="420"/>
      <c r="FF1362" s="420"/>
      <c r="FG1362" s="420"/>
      <c r="FH1362" s="420"/>
      <c r="FI1362" s="420"/>
      <c r="FJ1362" s="420"/>
      <c r="FK1362" s="420"/>
      <c r="FL1362" s="420"/>
      <c r="FM1362" s="420"/>
      <c r="FN1362" s="420"/>
      <c r="FO1362" s="420"/>
      <c r="FP1362" s="420"/>
      <c r="FQ1362" s="420"/>
      <c r="FR1362" s="420"/>
      <c r="FS1362" s="420"/>
      <c r="FT1362" s="420"/>
      <c r="FU1362" s="420"/>
      <c r="FV1362" s="420"/>
      <c r="FW1362" s="420"/>
      <c r="FX1362" s="420"/>
      <c r="FY1362" s="420"/>
    </row>
    <row r="1363" spans="1:256" s="431" customFormat="1" ht="15.75" customHeight="1">
      <c r="A1363" s="978"/>
      <c r="B1363" s="927"/>
      <c r="C1363" s="975"/>
      <c r="D1363" s="979">
        <v>0</v>
      </c>
      <c r="E1363" s="980"/>
      <c r="F1363" s="981"/>
      <c r="N1363" s="641"/>
      <c r="O1363" s="641"/>
      <c r="FZ1363" s="432"/>
      <c r="GA1363" s="432"/>
      <c r="GB1363" s="432"/>
      <c r="GC1363" s="432"/>
      <c r="GD1363" s="432"/>
      <c r="GE1363" s="432"/>
      <c r="GF1363" s="432"/>
      <c r="GG1363" s="432"/>
      <c r="GH1363" s="432"/>
      <c r="GI1363" s="432"/>
      <c r="GJ1363" s="432"/>
      <c r="GK1363" s="432"/>
      <c r="GL1363" s="432"/>
      <c r="GM1363" s="432"/>
      <c r="GN1363" s="432"/>
      <c r="GO1363" s="432"/>
      <c r="GP1363" s="432"/>
      <c r="GQ1363" s="432"/>
      <c r="GR1363" s="432"/>
      <c r="GS1363" s="432"/>
      <c r="GT1363" s="432"/>
      <c r="GU1363" s="432"/>
      <c r="GV1363" s="432"/>
      <c r="GW1363" s="432"/>
      <c r="GX1363" s="432"/>
      <c r="GY1363" s="432"/>
      <c r="GZ1363" s="432"/>
      <c r="HA1363" s="432"/>
      <c r="HB1363" s="432"/>
      <c r="HC1363" s="432"/>
      <c r="HD1363" s="432"/>
      <c r="HE1363" s="432"/>
      <c r="HF1363" s="432"/>
      <c r="HG1363" s="432"/>
      <c r="HH1363" s="432"/>
      <c r="HI1363" s="432"/>
      <c r="HJ1363" s="432"/>
      <c r="HK1363" s="432"/>
      <c r="HL1363" s="432"/>
      <c r="HM1363" s="432"/>
      <c r="HN1363" s="432"/>
      <c r="HO1363" s="432"/>
      <c r="HP1363" s="432"/>
      <c r="HQ1363" s="432"/>
      <c r="HR1363" s="432"/>
      <c r="HS1363" s="432"/>
      <c r="HT1363" s="432"/>
      <c r="HU1363" s="432"/>
      <c r="HV1363" s="432"/>
      <c r="HW1363" s="432"/>
      <c r="HX1363" s="432"/>
      <c r="HY1363" s="432"/>
      <c r="HZ1363" s="432"/>
      <c r="IA1363" s="432"/>
      <c r="IB1363" s="432"/>
      <c r="IC1363" s="432"/>
      <c r="ID1363" s="432"/>
      <c r="IE1363" s="432"/>
      <c r="IF1363" s="432"/>
      <c r="IG1363" s="432"/>
      <c r="IH1363" s="432"/>
      <c r="II1363" s="432"/>
      <c r="IJ1363" s="432"/>
      <c r="IK1363" s="432"/>
      <c r="IL1363" s="432"/>
      <c r="IM1363" s="432"/>
      <c r="IN1363" s="432"/>
      <c r="IO1363" s="432"/>
      <c r="IP1363" s="432"/>
      <c r="IQ1363" s="432"/>
      <c r="IR1363" s="432"/>
      <c r="IS1363" s="432"/>
      <c r="IT1363" s="432"/>
      <c r="IU1363" s="432"/>
      <c r="IV1363" s="432"/>
    </row>
    <row r="1364" spans="1:256" s="431" customFormat="1" ht="15.75" customHeight="1">
      <c r="A1364" s="986" t="s">
        <v>736</v>
      </c>
      <c r="B1364" s="960" t="s">
        <v>53</v>
      </c>
      <c r="C1364" s="962"/>
      <c r="D1364" s="962"/>
      <c r="E1364" s="962"/>
      <c r="F1364" s="962">
        <f>SUM(F1351:F1362)</f>
        <v>0</v>
      </c>
      <c r="G1364" s="963"/>
      <c r="H1364" s="963"/>
      <c r="I1364" s="963"/>
      <c r="J1364" s="963"/>
      <c r="K1364" s="963"/>
      <c r="L1364" s="963"/>
      <c r="M1364" s="963"/>
      <c r="N1364" s="906"/>
      <c r="O1364" s="962">
        <f>SUM(O1351:O1362)</f>
        <v>0</v>
      </c>
      <c r="FZ1364" s="432"/>
      <c r="GA1364" s="432"/>
      <c r="GB1364" s="432"/>
      <c r="GC1364" s="432"/>
      <c r="GD1364" s="432"/>
      <c r="GE1364" s="432"/>
      <c r="GF1364" s="432"/>
      <c r="GG1364" s="432"/>
      <c r="GH1364" s="432"/>
      <c r="GI1364" s="432"/>
      <c r="GJ1364" s="432"/>
      <c r="GK1364" s="432"/>
      <c r="GL1364" s="432"/>
      <c r="GM1364" s="432"/>
      <c r="GN1364" s="432"/>
      <c r="GO1364" s="432"/>
      <c r="GP1364" s="432"/>
      <c r="GQ1364" s="432"/>
      <c r="GR1364" s="432"/>
      <c r="GS1364" s="432"/>
      <c r="GT1364" s="432"/>
      <c r="GU1364" s="432"/>
      <c r="GV1364" s="432"/>
      <c r="GW1364" s="432"/>
      <c r="GX1364" s="432"/>
      <c r="GY1364" s="432"/>
      <c r="GZ1364" s="432"/>
      <c r="HA1364" s="432"/>
      <c r="HB1364" s="432"/>
      <c r="HC1364" s="432"/>
      <c r="HD1364" s="432"/>
      <c r="HE1364" s="432"/>
      <c r="HF1364" s="432"/>
      <c r="HG1364" s="432"/>
      <c r="HH1364" s="432"/>
      <c r="HI1364" s="432"/>
      <c r="HJ1364" s="432"/>
      <c r="HK1364" s="432"/>
      <c r="HL1364" s="432"/>
      <c r="HM1364" s="432"/>
      <c r="HN1364" s="432"/>
      <c r="HO1364" s="432"/>
      <c r="HP1364" s="432"/>
      <c r="HQ1364" s="432"/>
      <c r="HR1364" s="432"/>
      <c r="HS1364" s="432"/>
      <c r="HT1364" s="432"/>
      <c r="HU1364" s="432"/>
      <c r="HV1364" s="432"/>
      <c r="HW1364" s="432"/>
      <c r="HX1364" s="432"/>
      <c r="HY1364" s="432"/>
      <c r="HZ1364" s="432"/>
      <c r="IA1364" s="432"/>
      <c r="IB1364" s="432"/>
      <c r="IC1364" s="432"/>
      <c r="ID1364" s="432"/>
      <c r="IE1364" s="432"/>
      <c r="IF1364" s="432"/>
      <c r="IG1364" s="432"/>
      <c r="IH1364" s="432"/>
      <c r="II1364" s="432"/>
      <c r="IJ1364" s="432"/>
      <c r="IK1364" s="432"/>
      <c r="IL1364" s="432"/>
      <c r="IM1364" s="432"/>
      <c r="IN1364" s="432"/>
      <c r="IO1364" s="432"/>
      <c r="IP1364" s="432"/>
      <c r="IQ1364" s="432"/>
      <c r="IR1364" s="432"/>
      <c r="IS1364" s="432"/>
      <c r="IT1364" s="432"/>
      <c r="IU1364" s="432"/>
      <c r="IV1364" s="432"/>
    </row>
    <row r="1365" spans="1:256" s="431" customFormat="1" ht="15.75" customHeight="1">
      <c r="A1365" s="974"/>
      <c r="B1365" s="929"/>
      <c r="C1365" s="931"/>
      <c r="D1365" s="931"/>
      <c r="E1365" s="931"/>
      <c r="F1365" s="931"/>
      <c r="N1365" s="641"/>
      <c r="O1365" s="641"/>
      <c r="FZ1365" s="432"/>
      <c r="GA1365" s="432"/>
      <c r="GB1365" s="432"/>
      <c r="GC1365" s="432"/>
      <c r="GD1365" s="432"/>
      <c r="GE1365" s="432"/>
      <c r="GF1365" s="432"/>
      <c r="GG1365" s="432"/>
      <c r="GH1365" s="432"/>
      <c r="GI1365" s="432"/>
      <c r="GJ1365" s="432"/>
      <c r="GK1365" s="432"/>
      <c r="GL1365" s="432"/>
      <c r="GM1365" s="432"/>
      <c r="GN1365" s="432"/>
      <c r="GO1365" s="432"/>
      <c r="GP1365" s="432"/>
      <c r="GQ1365" s="432"/>
      <c r="GR1365" s="432"/>
      <c r="GS1365" s="432"/>
      <c r="GT1365" s="432"/>
      <c r="GU1365" s="432"/>
      <c r="GV1365" s="432"/>
      <c r="GW1365" s="432"/>
      <c r="GX1365" s="432"/>
      <c r="GY1365" s="432"/>
      <c r="GZ1365" s="432"/>
      <c r="HA1365" s="432"/>
      <c r="HB1365" s="432"/>
      <c r="HC1365" s="432"/>
      <c r="HD1365" s="432"/>
      <c r="HE1365" s="432"/>
      <c r="HF1365" s="432"/>
      <c r="HG1365" s="432"/>
      <c r="HH1365" s="432"/>
      <c r="HI1365" s="432"/>
      <c r="HJ1365" s="432"/>
      <c r="HK1365" s="432"/>
      <c r="HL1365" s="432"/>
      <c r="HM1365" s="432"/>
      <c r="HN1365" s="432"/>
      <c r="HO1365" s="432"/>
      <c r="HP1365" s="432"/>
      <c r="HQ1365" s="432"/>
      <c r="HR1365" s="432"/>
      <c r="HS1365" s="432"/>
      <c r="HT1365" s="432"/>
      <c r="HU1365" s="432"/>
      <c r="HV1365" s="432"/>
      <c r="HW1365" s="432"/>
      <c r="HX1365" s="432"/>
      <c r="HY1365" s="432"/>
      <c r="HZ1365" s="432"/>
      <c r="IA1365" s="432"/>
      <c r="IB1365" s="432"/>
      <c r="IC1365" s="432"/>
      <c r="ID1365" s="432"/>
      <c r="IE1365" s="432"/>
      <c r="IF1365" s="432"/>
      <c r="IG1365" s="432"/>
      <c r="IH1365" s="432"/>
      <c r="II1365" s="432"/>
      <c r="IJ1365" s="432"/>
      <c r="IK1365" s="432"/>
      <c r="IL1365" s="432"/>
      <c r="IM1365" s="432"/>
      <c r="IN1365" s="432"/>
      <c r="IO1365" s="432"/>
      <c r="IP1365" s="432"/>
      <c r="IQ1365" s="432"/>
      <c r="IR1365" s="432"/>
      <c r="IS1365" s="432"/>
      <c r="IT1365" s="432"/>
      <c r="IU1365" s="432"/>
      <c r="IV1365" s="432"/>
    </row>
    <row r="1366" spans="1:181" s="421" customFormat="1" ht="15.75" customHeight="1">
      <c r="A1366" s="928" t="s">
        <v>1014</v>
      </c>
      <c r="B1366" s="933" t="s">
        <v>1015</v>
      </c>
      <c r="C1366" s="1200"/>
      <c r="D1366" s="1200"/>
      <c r="E1366" s="1200"/>
      <c r="F1366" s="1200"/>
      <c r="G1366" s="420"/>
      <c r="H1366" s="420"/>
      <c r="I1366" s="420"/>
      <c r="J1366" s="420"/>
      <c r="K1366" s="420"/>
      <c r="L1366" s="420"/>
      <c r="M1366" s="420"/>
      <c r="N1366" s="646"/>
      <c r="O1366" s="646"/>
      <c r="P1366" s="420"/>
      <c r="Q1366" s="420"/>
      <c r="R1366" s="420"/>
      <c r="S1366" s="420"/>
      <c r="T1366" s="420"/>
      <c r="U1366" s="420"/>
      <c r="V1366" s="420"/>
      <c r="W1366" s="420"/>
      <c r="X1366" s="420"/>
      <c r="Y1366" s="420"/>
      <c r="Z1366" s="420"/>
      <c r="AA1366" s="420"/>
      <c r="AB1366" s="420"/>
      <c r="AC1366" s="420"/>
      <c r="AD1366" s="420"/>
      <c r="AE1366" s="420"/>
      <c r="AF1366" s="420"/>
      <c r="AG1366" s="420"/>
      <c r="AH1366" s="420"/>
      <c r="AI1366" s="420"/>
      <c r="AJ1366" s="420"/>
      <c r="AK1366" s="420"/>
      <c r="AL1366" s="420"/>
      <c r="AM1366" s="420"/>
      <c r="AN1366" s="420"/>
      <c r="AO1366" s="420"/>
      <c r="AP1366" s="420"/>
      <c r="AQ1366" s="420"/>
      <c r="AR1366" s="420"/>
      <c r="AS1366" s="420"/>
      <c r="AT1366" s="420"/>
      <c r="AU1366" s="420"/>
      <c r="AV1366" s="420"/>
      <c r="AW1366" s="420"/>
      <c r="AX1366" s="420"/>
      <c r="AY1366" s="420"/>
      <c r="AZ1366" s="420"/>
      <c r="BA1366" s="420"/>
      <c r="BB1366" s="420"/>
      <c r="BC1366" s="420"/>
      <c r="BD1366" s="420"/>
      <c r="BE1366" s="420"/>
      <c r="BF1366" s="420"/>
      <c r="BG1366" s="420"/>
      <c r="BH1366" s="420"/>
      <c r="BI1366" s="420"/>
      <c r="BJ1366" s="420"/>
      <c r="BK1366" s="420"/>
      <c r="BL1366" s="420"/>
      <c r="BM1366" s="420"/>
      <c r="BN1366" s="420"/>
      <c r="BO1366" s="420"/>
      <c r="BP1366" s="420"/>
      <c r="BQ1366" s="420"/>
      <c r="BR1366" s="420"/>
      <c r="BS1366" s="420"/>
      <c r="BT1366" s="420"/>
      <c r="BU1366" s="420"/>
      <c r="BV1366" s="420"/>
      <c r="BW1366" s="420"/>
      <c r="BX1366" s="420"/>
      <c r="BY1366" s="420"/>
      <c r="BZ1366" s="420"/>
      <c r="CA1366" s="420"/>
      <c r="CB1366" s="420"/>
      <c r="CC1366" s="420"/>
      <c r="CD1366" s="420"/>
      <c r="CE1366" s="420"/>
      <c r="CF1366" s="420"/>
      <c r="CG1366" s="420"/>
      <c r="CH1366" s="420"/>
      <c r="CI1366" s="420"/>
      <c r="CJ1366" s="420"/>
      <c r="CK1366" s="420"/>
      <c r="CL1366" s="420"/>
      <c r="CM1366" s="420"/>
      <c r="CN1366" s="420"/>
      <c r="CO1366" s="420"/>
      <c r="CP1366" s="420"/>
      <c r="CQ1366" s="420"/>
      <c r="CR1366" s="420"/>
      <c r="CS1366" s="420"/>
      <c r="CT1366" s="420"/>
      <c r="CU1366" s="420"/>
      <c r="CV1366" s="420"/>
      <c r="CW1366" s="420"/>
      <c r="CX1366" s="420"/>
      <c r="CY1366" s="420"/>
      <c r="CZ1366" s="420"/>
      <c r="DA1366" s="420"/>
      <c r="DB1366" s="420"/>
      <c r="DC1366" s="420"/>
      <c r="DD1366" s="420"/>
      <c r="DE1366" s="420"/>
      <c r="DF1366" s="420"/>
      <c r="DG1366" s="420"/>
      <c r="DH1366" s="420"/>
      <c r="DI1366" s="420"/>
      <c r="DJ1366" s="420"/>
      <c r="DK1366" s="420"/>
      <c r="DL1366" s="420"/>
      <c r="DM1366" s="420"/>
      <c r="DN1366" s="420"/>
      <c r="DO1366" s="420"/>
      <c r="DP1366" s="420"/>
      <c r="DQ1366" s="420"/>
      <c r="DR1366" s="420"/>
      <c r="DS1366" s="420"/>
      <c r="DT1366" s="420"/>
      <c r="DU1366" s="420"/>
      <c r="DV1366" s="420"/>
      <c r="DW1366" s="420"/>
      <c r="DX1366" s="420"/>
      <c r="DY1366" s="420"/>
      <c r="DZ1366" s="420"/>
      <c r="EA1366" s="420"/>
      <c r="EB1366" s="420"/>
      <c r="EC1366" s="420"/>
      <c r="ED1366" s="420"/>
      <c r="EE1366" s="420"/>
      <c r="EF1366" s="420"/>
      <c r="EG1366" s="420"/>
      <c r="EH1366" s="420"/>
      <c r="EI1366" s="420"/>
      <c r="EJ1366" s="420"/>
      <c r="EK1366" s="420"/>
      <c r="EL1366" s="420"/>
      <c r="EM1366" s="420"/>
      <c r="EN1366" s="420"/>
      <c r="EO1366" s="420"/>
      <c r="EP1366" s="420"/>
      <c r="EQ1366" s="420"/>
      <c r="ER1366" s="420"/>
      <c r="ES1366" s="420"/>
      <c r="ET1366" s="420"/>
      <c r="EU1366" s="420"/>
      <c r="EV1366" s="420"/>
      <c r="EW1366" s="420"/>
      <c r="EX1366" s="420"/>
      <c r="EY1366" s="420"/>
      <c r="EZ1366" s="420"/>
      <c r="FA1366" s="420"/>
      <c r="FB1366" s="420"/>
      <c r="FC1366" s="420"/>
      <c r="FD1366" s="420"/>
      <c r="FE1366" s="420"/>
      <c r="FF1366" s="420"/>
      <c r="FG1366" s="420"/>
      <c r="FH1366" s="420"/>
      <c r="FI1366" s="420"/>
      <c r="FJ1366" s="420"/>
      <c r="FK1366" s="420"/>
      <c r="FL1366" s="420"/>
      <c r="FM1366" s="420"/>
      <c r="FN1366" s="420"/>
      <c r="FO1366" s="420"/>
      <c r="FP1366" s="420"/>
      <c r="FQ1366" s="420"/>
      <c r="FR1366" s="420"/>
      <c r="FS1366" s="420"/>
      <c r="FT1366" s="420"/>
      <c r="FU1366" s="420"/>
      <c r="FV1366" s="420"/>
      <c r="FW1366" s="420"/>
      <c r="FX1366" s="420"/>
      <c r="FY1366" s="420"/>
    </row>
    <row r="1367" spans="1:181" s="421" customFormat="1" ht="30" customHeight="1">
      <c r="A1367" s="630" t="s">
        <v>38</v>
      </c>
      <c r="B1367" s="967" t="s">
        <v>39</v>
      </c>
      <c r="C1367" s="968" t="s">
        <v>40</v>
      </c>
      <c r="D1367" s="968" t="s">
        <v>41</v>
      </c>
      <c r="E1367" s="969" t="s">
        <v>1261</v>
      </c>
      <c r="F1367" s="969" t="s">
        <v>1262</v>
      </c>
      <c r="G1367" s="600"/>
      <c r="H1367" s="601"/>
      <c r="I1367" s="601"/>
      <c r="J1367" s="146"/>
      <c r="K1367" s="146"/>
      <c r="L1367" s="601"/>
      <c r="M1367" s="146"/>
      <c r="N1367" s="631" t="s">
        <v>1264</v>
      </c>
      <c r="O1367" s="631" t="s">
        <v>1263</v>
      </c>
      <c r="P1367" s="420"/>
      <c r="Q1367" s="420"/>
      <c r="R1367" s="420"/>
      <c r="S1367" s="420"/>
      <c r="T1367" s="420"/>
      <c r="U1367" s="420"/>
      <c r="V1367" s="420"/>
      <c r="W1367" s="420"/>
      <c r="X1367" s="420"/>
      <c r="Y1367" s="420"/>
      <c r="Z1367" s="420"/>
      <c r="AA1367" s="420"/>
      <c r="AB1367" s="420"/>
      <c r="AC1367" s="420"/>
      <c r="AD1367" s="420"/>
      <c r="AE1367" s="420"/>
      <c r="AF1367" s="420"/>
      <c r="AG1367" s="420"/>
      <c r="AH1367" s="420"/>
      <c r="AI1367" s="420"/>
      <c r="AJ1367" s="420"/>
      <c r="AK1367" s="420"/>
      <c r="AL1367" s="420"/>
      <c r="AM1367" s="420"/>
      <c r="AN1367" s="420"/>
      <c r="AO1367" s="420"/>
      <c r="AP1367" s="420"/>
      <c r="AQ1367" s="420"/>
      <c r="AR1367" s="420"/>
      <c r="AS1367" s="420"/>
      <c r="AT1367" s="420"/>
      <c r="AU1367" s="420"/>
      <c r="AV1367" s="420"/>
      <c r="AW1367" s="420"/>
      <c r="AX1367" s="420"/>
      <c r="AY1367" s="420"/>
      <c r="AZ1367" s="420"/>
      <c r="BA1367" s="420"/>
      <c r="BB1367" s="420"/>
      <c r="BC1367" s="420"/>
      <c r="BD1367" s="420"/>
      <c r="BE1367" s="420"/>
      <c r="BF1367" s="420"/>
      <c r="BG1367" s="420"/>
      <c r="BH1367" s="420"/>
      <c r="BI1367" s="420"/>
      <c r="BJ1367" s="420"/>
      <c r="BK1367" s="420"/>
      <c r="BL1367" s="420"/>
      <c r="BM1367" s="420"/>
      <c r="BN1367" s="420"/>
      <c r="BO1367" s="420"/>
      <c r="BP1367" s="420"/>
      <c r="BQ1367" s="420"/>
      <c r="BR1367" s="420"/>
      <c r="BS1367" s="420"/>
      <c r="BT1367" s="420"/>
      <c r="BU1367" s="420"/>
      <c r="BV1367" s="420"/>
      <c r="BW1367" s="420"/>
      <c r="BX1367" s="420"/>
      <c r="BY1367" s="420"/>
      <c r="BZ1367" s="420"/>
      <c r="CA1367" s="420"/>
      <c r="CB1367" s="420"/>
      <c r="CC1367" s="420"/>
      <c r="CD1367" s="420"/>
      <c r="CE1367" s="420"/>
      <c r="CF1367" s="420"/>
      <c r="CG1367" s="420"/>
      <c r="CH1367" s="420"/>
      <c r="CI1367" s="420"/>
      <c r="CJ1367" s="420"/>
      <c r="CK1367" s="420"/>
      <c r="CL1367" s="420"/>
      <c r="CM1367" s="420"/>
      <c r="CN1367" s="420"/>
      <c r="CO1367" s="420"/>
      <c r="CP1367" s="420"/>
      <c r="CQ1367" s="420"/>
      <c r="CR1367" s="420"/>
      <c r="CS1367" s="420"/>
      <c r="CT1367" s="420"/>
      <c r="CU1367" s="420"/>
      <c r="CV1367" s="420"/>
      <c r="CW1367" s="420"/>
      <c r="CX1367" s="420"/>
      <c r="CY1367" s="420"/>
      <c r="CZ1367" s="420"/>
      <c r="DA1367" s="420"/>
      <c r="DB1367" s="420"/>
      <c r="DC1367" s="420"/>
      <c r="DD1367" s="420"/>
      <c r="DE1367" s="420"/>
      <c r="DF1367" s="420"/>
      <c r="DG1367" s="420"/>
      <c r="DH1367" s="420"/>
      <c r="DI1367" s="420"/>
      <c r="DJ1367" s="420"/>
      <c r="DK1367" s="420"/>
      <c r="DL1367" s="420"/>
      <c r="DM1367" s="420"/>
      <c r="DN1367" s="420"/>
      <c r="DO1367" s="420"/>
      <c r="DP1367" s="420"/>
      <c r="DQ1367" s="420"/>
      <c r="DR1367" s="420"/>
      <c r="DS1367" s="420"/>
      <c r="DT1367" s="420"/>
      <c r="DU1367" s="420"/>
      <c r="DV1367" s="420"/>
      <c r="DW1367" s="420"/>
      <c r="DX1367" s="420"/>
      <c r="DY1367" s="420"/>
      <c r="DZ1367" s="420"/>
      <c r="EA1367" s="420"/>
      <c r="EB1367" s="420"/>
      <c r="EC1367" s="420"/>
      <c r="ED1367" s="420"/>
      <c r="EE1367" s="420"/>
      <c r="EF1367" s="420"/>
      <c r="EG1367" s="420"/>
      <c r="EH1367" s="420"/>
      <c r="EI1367" s="420"/>
      <c r="EJ1367" s="420"/>
      <c r="EK1367" s="420"/>
      <c r="EL1367" s="420"/>
      <c r="EM1367" s="420"/>
      <c r="EN1367" s="420"/>
      <c r="EO1367" s="420"/>
      <c r="EP1367" s="420"/>
      <c r="EQ1367" s="420"/>
      <c r="ER1367" s="420"/>
      <c r="ES1367" s="420"/>
      <c r="ET1367" s="420"/>
      <c r="EU1367" s="420"/>
      <c r="EV1367" s="420"/>
      <c r="EW1367" s="420"/>
      <c r="EX1367" s="420"/>
      <c r="EY1367" s="420"/>
      <c r="EZ1367" s="420"/>
      <c r="FA1367" s="420"/>
      <c r="FB1367" s="420"/>
      <c r="FC1367" s="420"/>
      <c r="FD1367" s="420"/>
      <c r="FE1367" s="420"/>
      <c r="FF1367" s="420"/>
      <c r="FG1367" s="420"/>
      <c r="FH1367" s="420"/>
      <c r="FI1367" s="420"/>
      <c r="FJ1367" s="420"/>
      <c r="FK1367" s="420"/>
      <c r="FL1367" s="420"/>
      <c r="FM1367" s="420"/>
      <c r="FN1367" s="420"/>
      <c r="FO1367" s="420"/>
      <c r="FP1367" s="420"/>
      <c r="FQ1367" s="420"/>
      <c r="FR1367" s="420"/>
      <c r="FS1367" s="420"/>
      <c r="FT1367" s="420"/>
      <c r="FU1367" s="420"/>
      <c r="FV1367" s="420"/>
      <c r="FW1367" s="420"/>
      <c r="FX1367" s="420"/>
      <c r="FY1367" s="420"/>
    </row>
    <row r="1368" spans="1:181" s="421" customFormat="1" ht="15.75" customHeight="1">
      <c r="A1368" s="918"/>
      <c r="B1368" s="919"/>
      <c r="C1368" s="920"/>
      <c r="D1368" s="921"/>
      <c r="E1368" s="922"/>
      <c r="F1368" s="923"/>
      <c r="G1368" s="420"/>
      <c r="H1368" s="420"/>
      <c r="I1368" s="420"/>
      <c r="J1368" s="420"/>
      <c r="K1368" s="420"/>
      <c r="L1368" s="420"/>
      <c r="M1368" s="420"/>
      <c r="N1368" s="646"/>
      <c r="O1368" s="646"/>
      <c r="P1368" s="420"/>
      <c r="Q1368" s="420"/>
      <c r="R1368" s="420"/>
      <c r="S1368" s="420"/>
      <c r="T1368" s="420"/>
      <c r="U1368" s="420"/>
      <c r="V1368" s="420"/>
      <c r="W1368" s="420"/>
      <c r="X1368" s="420"/>
      <c r="Y1368" s="420"/>
      <c r="Z1368" s="420"/>
      <c r="AA1368" s="420"/>
      <c r="AB1368" s="420"/>
      <c r="AC1368" s="420"/>
      <c r="AD1368" s="420"/>
      <c r="AE1368" s="420"/>
      <c r="AF1368" s="420"/>
      <c r="AG1368" s="420"/>
      <c r="AH1368" s="420"/>
      <c r="AI1368" s="420"/>
      <c r="AJ1368" s="420"/>
      <c r="AK1368" s="420"/>
      <c r="AL1368" s="420"/>
      <c r="AM1368" s="420"/>
      <c r="AN1368" s="420"/>
      <c r="AO1368" s="420"/>
      <c r="AP1368" s="420"/>
      <c r="AQ1368" s="420"/>
      <c r="AR1368" s="420"/>
      <c r="AS1368" s="420"/>
      <c r="AT1368" s="420"/>
      <c r="AU1368" s="420"/>
      <c r="AV1368" s="420"/>
      <c r="AW1368" s="420"/>
      <c r="AX1368" s="420"/>
      <c r="AY1368" s="420"/>
      <c r="AZ1368" s="420"/>
      <c r="BA1368" s="420"/>
      <c r="BB1368" s="420"/>
      <c r="BC1368" s="420"/>
      <c r="BD1368" s="420"/>
      <c r="BE1368" s="420"/>
      <c r="BF1368" s="420"/>
      <c r="BG1368" s="420"/>
      <c r="BH1368" s="420"/>
      <c r="BI1368" s="420"/>
      <c r="BJ1368" s="420"/>
      <c r="BK1368" s="420"/>
      <c r="BL1368" s="420"/>
      <c r="BM1368" s="420"/>
      <c r="BN1368" s="420"/>
      <c r="BO1368" s="420"/>
      <c r="BP1368" s="420"/>
      <c r="BQ1368" s="420"/>
      <c r="BR1368" s="420"/>
      <c r="BS1368" s="420"/>
      <c r="BT1368" s="420"/>
      <c r="BU1368" s="420"/>
      <c r="BV1368" s="420"/>
      <c r="BW1368" s="420"/>
      <c r="BX1368" s="420"/>
      <c r="BY1368" s="420"/>
      <c r="BZ1368" s="420"/>
      <c r="CA1368" s="420"/>
      <c r="CB1368" s="420"/>
      <c r="CC1368" s="420"/>
      <c r="CD1368" s="420"/>
      <c r="CE1368" s="420"/>
      <c r="CF1368" s="420"/>
      <c r="CG1368" s="420"/>
      <c r="CH1368" s="420"/>
      <c r="CI1368" s="420"/>
      <c r="CJ1368" s="420"/>
      <c r="CK1368" s="420"/>
      <c r="CL1368" s="420"/>
      <c r="CM1368" s="420"/>
      <c r="CN1368" s="420"/>
      <c r="CO1368" s="420"/>
      <c r="CP1368" s="420"/>
      <c r="CQ1368" s="420"/>
      <c r="CR1368" s="420"/>
      <c r="CS1368" s="420"/>
      <c r="CT1368" s="420"/>
      <c r="CU1368" s="420"/>
      <c r="CV1368" s="420"/>
      <c r="CW1368" s="420"/>
      <c r="CX1368" s="420"/>
      <c r="CY1368" s="420"/>
      <c r="CZ1368" s="420"/>
      <c r="DA1368" s="420"/>
      <c r="DB1368" s="420"/>
      <c r="DC1368" s="420"/>
      <c r="DD1368" s="420"/>
      <c r="DE1368" s="420"/>
      <c r="DF1368" s="420"/>
      <c r="DG1368" s="420"/>
      <c r="DH1368" s="420"/>
      <c r="DI1368" s="420"/>
      <c r="DJ1368" s="420"/>
      <c r="DK1368" s="420"/>
      <c r="DL1368" s="420"/>
      <c r="DM1368" s="420"/>
      <c r="DN1368" s="420"/>
      <c r="DO1368" s="420"/>
      <c r="DP1368" s="420"/>
      <c r="DQ1368" s="420"/>
      <c r="DR1368" s="420"/>
      <c r="DS1368" s="420"/>
      <c r="DT1368" s="420"/>
      <c r="DU1368" s="420"/>
      <c r="DV1368" s="420"/>
      <c r="DW1368" s="420"/>
      <c r="DX1368" s="420"/>
      <c r="DY1368" s="420"/>
      <c r="DZ1368" s="420"/>
      <c r="EA1368" s="420"/>
      <c r="EB1368" s="420"/>
      <c r="EC1368" s="420"/>
      <c r="ED1368" s="420"/>
      <c r="EE1368" s="420"/>
      <c r="EF1368" s="420"/>
      <c r="EG1368" s="420"/>
      <c r="EH1368" s="420"/>
      <c r="EI1368" s="420"/>
      <c r="EJ1368" s="420"/>
      <c r="EK1368" s="420"/>
      <c r="EL1368" s="420"/>
      <c r="EM1368" s="420"/>
      <c r="EN1368" s="420"/>
      <c r="EO1368" s="420"/>
      <c r="EP1368" s="420"/>
      <c r="EQ1368" s="420"/>
      <c r="ER1368" s="420"/>
      <c r="ES1368" s="420"/>
      <c r="ET1368" s="420"/>
      <c r="EU1368" s="420"/>
      <c r="EV1368" s="420"/>
      <c r="EW1368" s="420"/>
      <c r="EX1368" s="420"/>
      <c r="EY1368" s="420"/>
      <c r="EZ1368" s="420"/>
      <c r="FA1368" s="420"/>
      <c r="FB1368" s="420"/>
      <c r="FC1368" s="420"/>
      <c r="FD1368" s="420"/>
      <c r="FE1368" s="420"/>
      <c r="FF1368" s="420"/>
      <c r="FG1368" s="420"/>
      <c r="FH1368" s="420"/>
      <c r="FI1368" s="420"/>
      <c r="FJ1368" s="420"/>
      <c r="FK1368" s="420"/>
      <c r="FL1368" s="420"/>
      <c r="FM1368" s="420"/>
      <c r="FN1368" s="420"/>
      <c r="FO1368" s="420"/>
      <c r="FP1368" s="420"/>
      <c r="FQ1368" s="420"/>
      <c r="FR1368" s="420"/>
      <c r="FS1368" s="420"/>
      <c r="FT1368" s="420"/>
      <c r="FU1368" s="420"/>
      <c r="FV1368" s="420"/>
      <c r="FW1368" s="420"/>
      <c r="FX1368" s="420"/>
      <c r="FY1368" s="420"/>
    </row>
    <row r="1369" spans="1:181" s="421" customFormat="1" ht="63" customHeight="1">
      <c r="A1369" s="918"/>
      <c r="B1369" s="1201" t="s">
        <v>903</v>
      </c>
      <c r="C1369" s="1202"/>
      <c r="D1369" s="1202"/>
      <c r="E1369" s="1203"/>
      <c r="F1369" s="1108"/>
      <c r="G1369" s="420"/>
      <c r="H1369" s="420"/>
      <c r="I1369" s="420"/>
      <c r="J1369" s="420"/>
      <c r="K1369" s="420"/>
      <c r="L1369" s="420"/>
      <c r="M1369" s="420"/>
      <c r="N1369" s="646"/>
      <c r="O1369" s="646"/>
      <c r="P1369" s="420"/>
      <c r="Q1369" s="420"/>
      <c r="R1369" s="420"/>
      <c r="S1369" s="420"/>
      <c r="T1369" s="420"/>
      <c r="U1369" s="420"/>
      <c r="V1369" s="420"/>
      <c r="W1369" s="420"/>
      <c r="X1369" s="420"/>
      <c r="Y1369" s="420"/>
      <c r="Z1369" s="420"/>
      <c r="AA1369" s="420"/>
      <c r="AB1369" s="420"/>
      <c r="AC1369" s="420"/>
      <c r="AD1369" s="420"/>
      <c r="AE1369" s="420"/>
      <c r="AF1369" s="420"/>
      <c r="AG1369" s="420"/>
      <c r="AH1369" s="420"/>
      <c r="AI1369" s="420"/>
      <c r="AJ1369" s="420"/>
      <c r="AK1369" s="420"/>
      <c r="AL1369" s="420"/>
      <c r="AM1369" s="420"/>
      <c r="AN1369" s="420"/>
      <c r="AO1369" s="420"/>
      <c r="AP1369" s="420"/>
      <c r="AQ1369" s="420"/>
      <c r="AR1369" s="420"/>
      <c r="AS1369" s="420"/>
      <c r="AT1369" s="420"/>
      <c r="AU1369" s="420"/>
      <c r="AV1369" s="420"/>
      <c r="AW1369" s="420"/>
      <c r="AX1369" s="420"/>
      <c r="AY1369" s="420"/>
      <c r="AZ1369" s="420"/>
      <c r="BA1369" s="420"/>
      <c r="BB1369" s="420"/>
      <c r="BC1369" s="420"/>
      <c r="BD1369" s="420"/>
      <c r="BE1369" s="420"/>
      <c r="BF1369" s="420"/>
      <c r="BG1369" s="420"/>
      <c r="BH1369" s="420"/>
      <c r="BI1369" s="420"/>
      <c r="BJ1369" s="420"/>
      <c r="BK1369" s="420"/>
      <c r="BL1369" s="420"/>
      <c r="BM1369" s="420"/>
      <c r="BN1369" s="420"/>
      <c r="BO1369" s="420"/>
      <c r="BP1369" s="420"/>
      <c r="BQ1369" s="420"/>
      <c r="BR1369" s="420"/>
      <c r="BS1369" s="420"/>
      <c r="BT1369" s="420"/>
      <c r="BU1369" s="420"/>
      <c r="BV1369" s="420"/>
      <c r="BW1369" s="420"/>
      <c r="BX1369" s="420"/>
      <c r="BY1369" s="420"/>
      <c r="BZ1369" s="420"/>
      <c r="CA1369" s="420"/>
      <c r="CB1369" s="420"/>
      <c r="CC1369" s="420"/>
      <c r="CD1369" s="420"/>
      <c r="CE1369" s="420"/>
      <c r="CF1369" s="420"/>
      <c r="CG1369" s="420"/>
      <c r="CH1369" s="420"/>
      <c r="CI1369" s="420"/>
      <c r="CJ1369" s="420"/>
      <c r="CK1369" s="420"/>
      <c r="CL1369" s="420"/>
      <c r="CM1369" s="420"/>
      <c r="CN1369" s="420"/>
      <c r="CO1369" s="420"/>
      <c r="CP1369" s="420"/>
      <c r="CQ1369" s="420"/>
      <c r="CR1369" s="420"/>
      <c r="CS1369" s="420"/>
      <c r="CT1369" s="420"/>
      <c r="CU1369" s="420"/>
      <c r="CV1369" s="420"/>
      <c r="CW1369" s="420"/>
      <c r="CX1369" s="420"/>
      <c r="CY1369" s="420"/>
      <c r="CZ1369" s="420"/>
      <c r="DA1369" s="420"/>
      <c r="DB1369" s="420"/>
      <c r="DC1369" s="420"/>
      <c r="DD1369" s="420"/>
      <c r="DE1369" s="420"/>
      <c r="DF1369" s="420"/>
      <c r="DG1369" s="420"/>
      <c r="DH1369" s="420"/>
      <c r="DI1369" s="420"/>
      <c r="DJ1369" s="420"/>
      <c r="DK1369" s="420"/>
      <c r="DL1369" s="420"/>
      <c r="DM1369" s="420"/>
      <c r="DN1369" s="420"/>
      <c r="DO1369" s="420"/>
      <c r="DP1369" s="420"/>
      <c r="DQ1369" s="420"/>
      <c r="DR1369" s="420"/>
      <c r="DS1369" s="420"/>
      <c r="DT1369" s="420"/>
      <c r="DU1369" s="420"/>
      <c r="DV1369" s="420"/>
      <c r="DW1369" s="420"/>
      <c r="DX1369" s="420"/>
      <c r="DY1369" s="420"/>
      <c r="DZ1369" s="420"/>
      <c r="EA1369" s="420"/>
      <c r="EB1369" s="420"/>
      <c r="EC1369" s="420"/>
      <c r="ED1369" s="420"/>
      <c r="EE1369" s="420"/>
      <c r="EF1369" s="420"/>
      <c r="EG1369" s="420"/>
      <c r="EH1369" s="420"/>
      <c r="EI1369" s="420"/>
      <c r="EJ1369" s="420"/>
      <c r="EK1369" s="420"/>
      <c r="EL1369" s="420"/>
      <c r="EM1369" s="420"/>
      <c r="EN1369" s="420"/>
      <c r="EO1369" s="420"/>
      <c r="EP1369" s="420"/>
      <c r="EQ1369" s="420"/>
      <c r="ER1369" s="420"/>
      <c r="ES1369" s="420"/>
      <c r="ET1369" s="420"/>
      <c r="EU1369" s="420"/>
      <c r="EV1369" s="420"/>
      <c r="EW1369" s="420"/>
      <c r="EX1369" s="420"/>
      <c r="EY1369" s="420"/>
      <c r="EZ1369" s="420"/>
      <c r="FA1369" s="420"/>
      <c r="FB1369" s="420"/>
      <c r="FC1369" s="420"/>
      <c r="FD1369" s="420"/>
      <c r="FE1369" s="420"/>
      <c r="FF1369" s="420"/>
      <c r="FG1369" s="420"/>
      <c r="FH1369" s="420"/>
      <c r="FI1369" s="420"/>
      <c r="FJ1369" s="420"/>
      <c r="FK1369" s="420"/>
      <c r="FL1369" s="420"/>
      <c r="FM1369" s="420"/>
      <c r="FN1369" s="420"/>
      <c r="FO1369" s="420"/>
      <c r="FP1369" s="420"/>
      <c r="FQ1369" s="420"/>
      <c r="FR1369" s="420"/>
      <c r="FS1369" s="420"/>
      <c r="FT1369" s="420"/>
      <c r="FU1369" s="420"/>
      <c r="FV1369" s="420"/>
      <c r="FW1369" s="420"/>
      <c r="FX1369" s="420"/>
      <c r="FY1369" s="420"/>
    </row>
    <row r="1370" spans="1:181" s="421" customFormat="1" ht="20.25" customHeight="1">
      <c r="A1370" s="918"/>
      <c r="B1370" s="985" t="s">
        <v>948</v>
      </c>
      <c r="C1370" s="953"/>
      <c r="D1370" s="953"/>
      <c r="E1370" s="953"/>
      <c r="F1370" s="953"/>
      <c r="G1370" s="420"/>
      <c r="H1370" s="420"/>
      <c r="I1370" s="420"/>
      <c r="J1370" s="420"/>
      <c r="K1370" s="420"/>
      <c r="L1370" s="420"/>
      <c r="M1370" s="420"/>
      <c r="N1370" s="646"/>
      <c r="O1370" s="646"/>
      <c r="P1370" s="420"/>
      <c r="Q1370" s="420"/>
      <c r="R1370" s="420"/>
      <c r="S1370" s="420"/>
      <c r="T1370" s="420"/>
      <c r="U1370" s="420"/>
      <c r="V1370" s="420"/>
      <c r="W1370" s="420"/>
      <c r="X1370" s="420"/>
      <c r="Y1370" s="420"/>
      <c r="Z1370" s="420"/>
      <c r="AA1370" s="420"/>
      <c r="AB1370" s="420"/>
      <c r="AC1370" s="420"/>
      <c r="AD1370" s="420"/>
      <c r="AE1370" s="420"/>
      <c r="AF1370" s="420"/>
      <c r="AG1370" s="420"/>
      <c r="AH1370" s="420"/>
      <c r="AI1370" s="420"/>
      <c r="AJ1370" s="420"/>
      <c r="AK1370" s="420"/>
      <c r="AL1370" s="420"/>
      <c r="AM1370" s="420"/>
      <c r="AN1370" s="420"/>
      <c r="AO1370" s="420"/>
      <c r="AP1370" s="420"/>
      <c r="AQ1370" s="420"/>
      <c r="AR1370" s="420"/>
      <c r="AS1370" s="420"/>
      <c r="AT1370" s="420"/>
      <c r="AU1370" s="420"/>
      <c r="AV1370" s="420"/>
      <c r="AW1370" s="420"/>
      <c r="AX1370" s="420"/>
      <c r="AY1370" s="420"/>
      <c r="AZ1370" s="420"/>
      <c r="BA1370" s="420"/>
      <c r="BB1370" s="420"/>
      <c r="BC1370" s="420"/>
      <c r="BD1370" s="420"/>
      <c r="BE1370" s="420"/>
      <c r="BF1370" s="420"/>
      <c r="BG1370" s="420"/>
      <c r="BH1370" s="420"/>
      <c r="BI1370" s="420"/>
      <c r="BJ1370" s="420"/>
      <c r="BK1370" s="420"/>
      <c r="BL1370" s="420"/>
      <c r="BM1370" s="420"/>
      <c r="BN1370" s="420"/>
      <c r="BO1370" s="420"/>
      <c r="BP1370" s="420"/>
      <c r="BQ1370" s="420"/>
      <c r="BR1370" s="420"/>
      <c r="BS1370" s="420"/>
      <c r="BT1370" s="420"/>
      <c r="BU1370" s="420"/>
      <c r="BV1370" s="420"/>
      <c r="BW1370" s="420"/>
      <c r="BX1370" s="420"/>
      <c r="BY1370" s="420"/>
      <c r="BZ1370" s="420"/>
      <c r="CA1370" s="420"/>
      <c r="CB1370" s="420"/>
      <c r="CC1370" s="420"/>
      <c r="CD1370" s="420"/>
      <c r="CE1370" s="420"/>
      <c r="CF1370" s="420"/>
      <c r="CG1370" s="420"/>
      <c r="CH1370" s="420"/>
      <c r="CI1370" s="420"/>
      <c r="CJ1370" s="420"/>
      <c r="CK1370" s="420"/>
      <c r="CL1370" s="420"/>
      <c r="CM1370" s="420"/>
      <c r="CN1370" s="420"/>
      <c r="CO1370" s="420"/>
      <c r="CP1370" s="420"/>
      <c r="CQ1370" s="420"/>
      <c r="CR1370" s="420"/>
      <c r="CS1370" s="420"/>
      <c r="CT1370" s="420"/>
      <c r="CU1370" s="420"/>
      <c r="CV1370" s="420"/>
      <c r="CW1370" s="420"/>
      <c r="CX1370" s="420"/>
      <c r="CY1370" s="420"/>
      <c r="CZ1370" s="420"/>
      <c r="DA1370" s="420"/>
      <c r="DB1370" s="420"/>
      <c r="DC1370" s="420"/>
      <c r="DD1370" s="420"/>
      <c r="DE1370" s="420"/>
      <c r="DF1370" s="420"/>
      <c r="DG1370" s="420"/>
      <c r="DH1370" s="420"/>
      <c r="DI1370" s="420"/>
      <c r="DJ1370" s="420"/>
      <c r="DK1370" s="420"/>
      <c r="DL1370" s="420"/>
      <c r="DM1370" s="420"/>
      <c r="DN1370" s="420"/>
      <c r="DO1370" s="420"/>
      <c r="DP1370" s="420"/>
      <c r="DQ1370" s="420"/>
      <c r="DR1370" s="420"/>
      <c r="DS1370" s="420"/>
      <c r="DT1370" s="420"/>
      <c r="DU1370" s="420"/>
      <c r="DV1370" s="420"/>
      <c r="DW1370" s="420"/>
      <c r="DX1370" s="420"/>
      <c r="DY1370" s="420"/>
      <c r="DZ1370" s="420"/>
      <c r="EA1370" s="420"/>
      <c r="EB1370" s="420"/>
      <c r="EC1370" s="420"/>
      <c r="ED1370" s="420"/>
      <c r="EE1370" s="420"/>
      <c r="EF1370" s="420"/>
      <c r="EG1370" s="420"/>
      <c r="EH1370" s="420"/>
      <c r="EI1370" s="420"/>
      <c r="EJ1370" s="420"/>
      <c r="EK1370" s="420"/>
      <c r="EL1370" s="420"/>
      <c r="EM1370" s="420"/>
      <c r="EN1370" s="420"/>
      <c r="EO1370" s="420"/>
      <c r="EP1370" s="420"/>
      <c r="EQ1370" s="420"/>
      <c r="ER1370" s="420"/>
      <c r="ES1370" s="420"/>
      <c r="ET1370" s="420"/>
      <c r="EU1370" s="420"/>
      <c r="EV1370" s="420"/>
      <c r="EW1370" s="420"/>
      <c r="EX1370" s="420"/>
      <c r="EY1370" s="420"/>
      <c r="EZ1370" s="420"/>
      <c r="FA1370" s="420"/>
      <c r="FB1370" s="420"/>
      <c r="FC1370" s="420"/>
      <c r="FD1370" s="420"/>
      <c r="FE1370" s="420"/>
      <c r="FF1370" s="420"/>
      <c r="FG1370" s="420"/>
      <c r="FH1370" s="420"/>
      <c r="FI1370" s="420"/>
      <c r="FJ1370" s="420"/>
      <c r="FK1370" s="420"/>
      <c r="FL1370" s="420"/>
      <c r="FM1370" s="420"/>
      <c r="FN1370" s="420"/>
      <c r="FO1370" s="420"/>
      <c r="FP1370" s="420"/>
      <c r="FQ1370" s="420"/>
      <c r="FR1370" s="420"/>
      <c r="FS1370" s="420"/>
      <c r="FT1370" s="420"/>
      <c r="FU1370" s="420"/>
      <c r="FV1370" s="420"/>
      <c r="FW1370" s="420"/>
      <c r="FX1370" s="420"/>
      <c r="FY1370" s="420"/>
    </row>
    <row r="1371" spans="1:181" s="421" customFormat="1" ht="409.5" customHeight="1">
      <c r="A1371" s="918" t="s">
        <v>1016</v>
      </c>
      <c r="B1371" s="927" t="s">
        <v>1017</v>
      </c>
      <c r="C1371" s="970" t="s">
        <v>47</v>
      </c>
      <c r="D1371" s="970">
        <v>1</v>
      </c>
      <c r="E1371" s="922"/>
      <c r="F1371" s="987">
        <f aca="true" t="shared" si="52" ref="F1371:F1377">D1371*E1371</f>
        <v>0</v>
      </c>
      <c r="G1371" s="420"/>
      <c r="H1371" s="420"/>
      <c r="I1371" s="420"/>
      <c r="J1371" s="420"/>
      <c r="K1371" s="420"/>
      <c r="L1371" s="420"/>
      <c r="M1371" s="420"/>
      <c r="N1371" s="923">
        <f aca="true" t="shared" si="53" ref="N1371:N1377">E1371*1.2</f>
        <v>0</v>
      </c>
      <c r="O1371" s="923">
        <f aca="true" t="shared" si="54" ref="O1371:O1377">N1371*D1371</f>
        <v>0</v>
      </c>
      <c r="P1371" s="420"/>
      <c r="Q1371" s="420"/>
      <c r="R1371" s="420"/>
      <c r="S1371" s="420"/>
      <c r="T1371" s="420"/>
      <c r="U1371" s="420"/>
      <c r="V1371" s="420"/>
      <c r="W1371" s="420"/>
      <c r="X1371" s="420"/>
      <c r="Y1371" s="420"/>
      <c r="Z1371" s="420"/>
      <c r="AA1371" s="420"/>
      <c r="AB1371" s="420"/>
      <c r="AC1371" s="420"/>
      <c r="AD1371" s="420"/>
      <c r="AE1371" s="420"/>
      <c r="AF1371" s="420"/>
      <c r="AG1371" s="420"/>
      <c r="AH1371" s="420"/>
      <c r="AI1371" s="420"/>
      <c r="AJ1371" s="420"/>
      <c r="AK1371" s="420"/>
      <c r="AL1371" s="420"/>
      <c r="AM1371" s="420"/>
      <c r="AN1371" s="420"/>
      <c r="AO1371" s="420"/>
      <c r="AP1371" s="420"/>
      <c r="AQ1371" s="420"/>
      <c r="AR1371" s="420"/>
      <c r="AS1371" s="420"/>
      <c r="AT1371" s="420"/>
      <c r="AU1371" s="420"/>
      <c r="AV1371" s="420"/>
      <c r="AW1371" s="420"/>
      <c r="AX1371" s="420"/>
      <c r="AY1371" s="420"/>
      <c r="AZ1371" s="420"/>
      <c r="BA1371" s="420"/>
      <c r="BB1371" s="420"/>
      <c r="BC1371" s="420"/>
      <c r="BD1371" s="420"/>
      <c r="BE1371" s="420"/>
      <c r="BF1371" s="420"/>
      <c r="BG1371" s="420"/>
      <c r="BH1371" s="420"/>
      <c r="BI1371" s="420"/>
      <c r="BJ1371" s="420"/>
      <c r="BK1371" s="420"/>
      <c r="BL1371" s="420"/>
      <c r="BM1371" s="420"/>
      <c r="BN1371" s="420"/>
      <c r="BO1371" s="420"/>
      <c r="BP1371" s="420"/>
      <c r="BQ1371" s="420"/>
      <c r="BR1371" s="420"/>
      <c r="BS1371" s="420"/>
      <c r="BT1371" s="420"/>
      <c r="BU1371" s="420"/>
      <c r="BV1371" s="420"/>
      <c r="BW1371" s="420"/>
      <c r="BX1371" s="420"/>
      <c r="BY1371" s="420"/>
      <c r="BZ1371" s="420"/>
      <c r="CA1371" s="420"/>
      <c r="CB1371" s="420"/>
      <c r="CC1371" s="420"/>
      <c r="CD1371" s="420"/>
      <c r="CE1371" s="420"/>
      <c r="CF1371" s="420"/>
      <c r="CG1371" s="420"/>
      <c r="CH1371" s="420"/>
      <c r="CI1371" s="420"/>
      <c r="CJ1371" s="420"/>
      <c r="CK1371" s="420"/>
      <c r="CL1371" s="420"/>
      <c r="CM1371" s="420"/>
      <c r="CN1371" s="420"/>
      <c r="CO1371" s="420"/>
      <c r="CP1371" s="420"/>
      <c r="CQ1371" s="420"/>
      <c r="CR1371" s="420"/>
      <c r="CS1371" s="420"/>
      <c r="CT1371" s="420"/>
      <c r="CU1371" s="420"/>
      <c r="CV1371" s="420"/>
      <c r="CW1371" s="420"/>
      <c r="CX1371" s="420"/>
      <c r="CY1371" s="420"/>
      <c r="CZ1371" s="420"/>
      <c r="DA1371" s="420"/>
      <c r="DB1371" s="420"/>
      <c r="DC1371" s="420"/>
      <c r="DD1371" s="420"/>
      <c r="DE1371" s="420"/>
      <c r="DF1371" s="420"/>
      <c r="DG1371" s="420"/>
      <c r="DH1371" s="420"/>
      <c r="DI1371" s="420"/>
      <c r="DJ1371" s="420"/>
      <c r="DK1371" s="420"/>
      <c r="DL1371" s="420"/>
      <c r="DM1371" s="420"/>
      <c r="DN1371" s="420"/>
      <c r="DO1371" s="420"/>
      <c r="DP1371" s="420"/>
      <c r="DQ1371" s="420"/>
      <c r="DR1371" s="420"/>
      <c r="DS1371" s="420"/>
      <c r="DT1371" s="420"/>
      <c r="DU1371" s="420"/>
      <c r="DV1371" s="420"/>
      <c r="DW1371" s="420"/>
      <c r="DX1371" s="420"/>
      <c r="DY1371" s="420"/>
      <c r="DZ1371" s="420"/>
      <c r="EA1371" s="420"/>
      <c r="EB1371" s="420"/>
      <c r="EC1371" s="420"/>
      <c r="ED1371" s="420"/>
      <c r="EE1371" s="420"/>
      <c r="EF1371" s="420"/>
      <c r="EG1371" s="420"/>
      <c r="EH1371" s="420"/>
      <c r="EI1371" s="420"/>
      <c r="EJ1371" s="420"/>
      <c r="EK1371" s="420"/>
      <c r="EL1371" s="420"/>
      <c r="EM1371" s="420"/>
      <c r="EN1371" s="420"/>
      <c r="EO1371" s="420"/>
      <c r="EP1371" s="420"/>
      <c r="EQ1371" s="420"/>
      <c r="ER1371" s="420"/>
      <c r="ES1371" s="420"/>
      <c r="ET1371" s="420"/>
      <c r="EU1371" s="420"/>
      <c r="EV1371" s="420"/>
      <c r="EW1371" s="420"/>
      <c r="EX1371" s="420"/>
      <c r="EY1371" s="420"/>
      <c r="EZ1371" s="420"/>
      <c r="FA1371" s="420"/>
      <c r="FB1371" s="420"/>
      <c r="FC1371" s="420"/>
      <c r="FD1371" s="420"/>
      <c r="FE1371" s="420"/>
      <c r="FF1371" s="420"/>
      <c r="FG1371" s="420"/>
      <c r="FH1371" s="420"/>
      <c r="FI1371" s="420"/>
      <c r="FJ1371" s="420"/>
      <c r="FK1371" s="420"/>
      <c r="FL1371" s="420"/>
      <c r="FM1371" s="420"/>
      <c r="FN1371" s="420"/>
      <c r="FO1371" s="420"/>
      <c r="FP1371" s="420"/>
      <c r="FQ1371" s="420"/>
      <c r="FR1371" s="420"/>
      <c r="FS1371" s="420"/>
      <c r="FT1371" s="420"/>
      <c r="FU1371" s="420"/>
      <c r="FV1371" s="420"/>
      <c r="FW1371" s="420"/>
      <c r="FX1371" s="420"/>
      <c r="FY1371" s="420"/>
    </row>
    <row r="1372" spans="1:181" s="421" customFormat="1" ht="19.5" customHeight="1">
      <c r="A1372" s="918" t="s">
        <v>1018</v>
      </c>
      <c r="B1372" s="927" t="s">
        <v>1019</v>
      </c>
      <c r="C1372" s="970" t="s">
        <v>47</v>
      </c>
      <c r="D1372" s="970">
        <v>2</v>
      </c>
      <c r="E1372" s="922"/>
      <c r="F1372" s="987">
        <f t="shared" si="52"/>
        <v>0</v>
      </c>
      <c r="G1372" s="420"/>
      <c r="H1372" s="420"/>
      <c r="I1372" s="420"/>
      <c r="J1372" s="420"/>
      <c r="K1372" s="420"/>
      <c r="L1372" s="420"/>
      <c r="M1372" s="420"/>
      <c r="N1372" s="923">
        <f t="shared" si="53"/>
        <v>0</v>
      </c>
      <c r="O1372" s="923">
        <f t="shared" si="54"/>
        <v>0</v>
      </c>
      <c r="P1372" s="420"/>
      <c r="Q1372" s="420"/>
      <c r="R1372" s="420"/>
      <c r="S1372" s="420"/>
      <c r="T1372" s="420"/>
      <c r="U1372" s="420"/>
      <c r="V1372" s="420"/>
      <c r="W1372" s="420"/>
      <c r="X1372" s="420"/>
      <c r="Y1372" s="420"/>
      <c r="Z1372" s="420"/>
      <c r="AA1372" s="420"/>
      <c r="AB1372" s="420"/>
      <c r="AC1372" s="420"/>
      <c r="AD1372" s="420"/>
      <c r="AE1372" s="420"/>
      <c r="AF1372" s="420"/>
      <c r="AG1372" s="420"/>
      <c r="AH1372" s="420"/>
      <c r="AI1372" s="420"/>
      <c r="AJ1372" s="420"/>
      <c r="AK1372" s="420"/>
      <c r="AL1372" s="420"/>
      <c r="AM1372" s="420"/>
      <c r="AN1372" s="420"/>
      <c r="AO1372" s="420"/>
      <c r="AP1372" s="420"/>
      <c r="AQ1372" s="420"/>
      <c r="AR1372" s="420"/>
      <c r="AS1372" s="420"/>
      <c r="AT1372" s="420"/>
      <c r="AU1372" s="420"/>
      <c r="AV1372" s="420"/>
      <c r="AW1372" s="420"/>
      <c r="AX1372" s="420"/>
      <c r="AY1372" s="420"/>
      <c r="AZ1372" s="420"/>
      <c r="BA1372" s="420"/>
      <c r="BB1372" s="420"/>
      <c r="BC1372" s="420"/>
      <c r="BD1372" s="420"/>
      <c r="BE1372" s="420"/>
      <c r="BF1372" s="420"/>
      <c r="BG1372" s="420"/>
      <c r="BH1372" s="420"/>
      <c r="BI1372" s="420"/>
      <c r="BJ1372" s="420"/>
      <c r="BK1372" s="420"/>
      <c r="BL1372" s="420"/>
      <c r="BM1372" s="420"/>
      <c r="BN1372" s="420"/>
      <c r="BO1372" s="420"/>
      <c r="BP1372" s="420"/>
      <c r="BQ1372" s="420"/>
      <c r="BR1372" s="420"/>
      <c r="BS1372" s="420"/>
      <c r="BT1372" s="420"/>
      <c r="BU1372" s="420"/>
      <c r="BV1372" s="420"/>
      <c r="BW1372" s="420"/>
      <c r="BX1372" s="420"/>
      <c r="BY1372" s="420"/>
      <c r="BZ1372" s="420"/>
      <c r="CA1372" s="420"/>
      <c r="CB1372" s="420"/>
      <c r="CC1372" s="420"/>
      <c r="CD1372" s="420"/>
      <c r="CE1372" s="420"/>
      <c r="CF1372" s="420"/>
      <c r="CG1372" s="420"/>
      <c r="CH1372" s="420"/>
      <c r="CI1372" s="420"/>
      <c r="CJ1372" s="420"/>
      <c r="CK1372" s="420"/>
      <c r="CL1372" s="420"/>
      <c r="CM1372" s="420"/>
      <c r="CN1372" s="420"/>
      <c r="CO1372" s="420"/>
      <c r="CP1372" s="420"/>
      <c r="CQ1372" s="420"/>
      <c r="CR1372" s="420"/>
      <c r="CS1372" s="420"/>
      <c r="CT1372" s="420"/>
      <c r="CU1372" s="420"/>
      <c r="CV1372" s="420"/>
      <c r="CW1372" s="420"/>
      <c r="CX1372" s="420"/>
      <c r="CY1372" s="420"/>
      <c r="CZ1372" s="420"/>
      <c r="DA1372" s="420"/>
      <c r="DB1372" s="420"/>
      <c r="DC1372" s="420"/>
      <c r="DD1372" s="420"/>
      <c r="DE1372" s="420"/>
      <c r="DF1372" s="420"/>
      <c r="DG1372" s="420"/>
      <c r="DH1372" s="420"/>
      <c r="DI1372" s="420"/>
      <c r="DJ1372" s="420"/>
      <c r="DK1372" s="420"/>
      <c r="DL1372" s="420"/>
      <c r="DM1372" s="420"/>
      <c r="DN1372" s="420"/>
      <c r="DO1372" s="420"/>
      <c r="DP1372" s="420"/>
      <c r="DQ1372" s="420"/>
      <c r="DR1372" s="420"/>
      <c r="DS1372" s="420"/>
      <c r="DT1372" s="420"/>
      <c r="DU1372" s="420"/>
      <c r="DV1372" s="420"/>
      <c r="DW1372" s="420"/>
      <c r="DX1372" s="420"/>
      <c r="DY1372" s="420"/>
      <c r="DZ1372" s="420"/>
      <c r="EA1372" s="420"/>
      <c r="EB1372" s="420"/>
      <c r="EC1372" s="420"/>
      <c r="ED1372" s="420"/>
      <c r="EE1372" s="420"/>
      <c r="EF1372" s="420"/>
      <c r="EG1372" s="420"/>
      <c r="EH1372" s="420"/>
      <c r="EI1372" s="420"/>
      <c r="EJ1372" s="420"/>
      <c r="EK1372" s="420"/>
      <c r="EL1372" s="420"/>
      <c r="EM1372" s="420"/>
      <c r="EN1372" s="420"/>
      <c r="EO1372" s="420"/>
      <c r="EP1372" s="420"/>
      <c r="EQ1372" s="420"/>
      <c r="ER1372" s="420"/>
      <c r="ES1372" s="420"/>
      <c r="ET1372" s="420"/>
      <c r="EU1372" s="420"/>
      <c r="EV1372" s="420"/>
      <c r="EW1372" s="420"/>
      <c r="EX1372" s="420"/>
      <c r="EY1372" s="420"/>
      <c r="EZ1372" s="420"/>
      <c r="FA1372" s="420"/>
      <c r="FB1372" s="420"/>
      <c r="FC1372" s="420"/>
      <c r="FD1372" s="420"/>
      <c r="FE1372" s="420"/>
      <c r="FF1372" s="420"/>
      <c r="FG1372" s="420"/>
      <c r="FH1372" s="420"/>
      <c r="FI1372" s="420"/>
      <c r="FJ1372" s="420"/>
      <c r="FK1372" s="420"/>
      <c r="FL1372" s="420"/>
      <c r="FM1372" s="420"/>
      <c r="FN1372" s="420"/>
      <c r="FO1372" s="420"/>
      <c r="FP1372" s="420"/>
      <c r="FQ1372" s="420"/>
      <c r="FR1372" s="420"/>
      <c r="FS1372" s="420"/>
      <c r="FT1372" s="420"/>
      <c r="FU1372" s="420"/>
      <c r="FV1372" s="420"/>
      <c r="FW1372" s="420"/>
      <c r="FX1372" s="420"/>
      <c r="FY1372" s="420"/>
    </row>
    <row r="1373" spans="1:181" s="421" customFormat="1" ht="32.25" customHeight="1">
      <c r="A1373" s="918" t="s">
        <v>1020</v>
      </c>
      <c r="B1373" s="927" t="s">
        <v>1021</v>
      </c>
      <c r="C1373" s="970" t="s">
        <v>47</v>
      </c>
      <c r="D1373" s="970">
        <v>1</v>
      </c>
      <c r="E1373" s="922"/>
      <c r="F1373" s="987">
        <f t="shared" si="52"/>
        <v>0</v>
      </c>
      <c r="G1373" s="420"/>
      <c r="H1373" s="420"/>
      <c r="I1373" s="420"/>
      <c r="J1373" s="420"/>
      <c r="K1373" s="420"/>
      <c r="L1373" s="420"/>
      <c r="M1373" s="420"/>
      <c r="N1373" s="923">
        <f t="shared" si="53"/>
        <v>0</v>
      </c>
      <c r="O1373" s="923">
        <f t="shared" si="54"/>
        <v>0</v>
      </c>
      <c r="P1373" s="420"/>
      <c r="Q1373" s="420"/>
      <c r="R1373" s="420"/>
      <c r="S1373" s="420"/>
      <c r="T1373" s="420"/>
      <c r="U1373" s="420"/>
      <c r="V1373" s="420"/>
      <c r="W1373" s="420"/>
      <c r="X1373" s="420"/>
      <c r="Y1373" s="420"/>
      <c r="Z1373" s="420"/>
      <c r="AA1373" s="420"/>
      <c r="AB1373" s="420"/>
      <c r="AC1373" s="420"/>
      <c r="AD1373" s="420"/>
      <c r="AE1373" s="420"/>
      <c r="AF1373" s="420"/>
      <c r="AG1373" s="420"/>
      <c r="AH1373" s="420"/>
      <c r="AI1373" s="420"/>
      <c r="AJ1373" s="420"/>
      <c r="AK1373" s="420"/>
      <c r="AL1373" s="420"/>
      <c r="AM1373" s="420"/>
      <c r="AN1373" s="420"/>
      <c r="AO1373" s="420"/>
      <c r="AP1373" s="420"/>
      <c r="AQ1373" s="420"/>
      <c r="AR1373" s="420"/>
      <c r="AS1373" s="420"/>
      <c r="AT1373" s="420"/>
      <c r="AU1373" s="420"/>
      <c r="AV1373" s="420"/>
      <c r="AW1373" s="420"/>
      <c r="AX1373" s="420"/>
      <c r="AY1373" s="420"/>
      <c r="AZ1373" s="420"/>
      <c r="BA1373" s="420"/>
      <c r="BB1373" s="420"/>
      <c r="BC1373" s="420"/>
      <c r="BD1373" s="420"/>
      <c r="BE1373" s="420"/>
      <c r="BF1373" s="420"/>
      <c r="BG1373" s="420"/>
      <c r="BH1373" s="420"/>
      <c r="BI1373" s="420"/>
      <c r="BJ1373" s="420"/>
      <c r="BK1373" s="420"/>
      <c r="BL1373" s="420"/>
      <c r="BM1373" s="420"/>
      <c r="BN1373" s="420"/>
      <c r="BO1373" s="420"/>
      <c r="BP1373" s="420"/>
      <c r="BQ1373" s="420"/>
      <c r="BR1373" s="420"/>
      <c r="BS1373" s="420"/>
      <c r="BT1373" s="420"/>
      <c r="BU1373" s="420"/>
      <c r="BV1373" s="420"/>
      <c r="BW1373" s="420"/>
      <c r="BX1373" s="420"/>
      <c r="BY1373" s="420"/>
      <c r="BZ1373" s="420"/>
      <c r="CA1373" s="420"/>
      <c r="CB1373" s="420"/>
      <c r="CC1373" s="420"/>
      <c r="CD1373" s="420"/>
      <c r="CE1373" s="420"/>
      <c r="CF1373" s="420"/>
      <c r="CG1373" s="420"/>
      <c r="CH1373" s="420"/>
      <c r="CI1373" s="420"/>
      <c r="CJ1373" s="420"/>
      <c r="CK1373" s="420"/>
      <c r="CL1373" s="420"/>
      <c r="CM1373" s="420"/>
      <c r="CN1373" s="420"/>
      <c r="CO1373" s="420"/>
      <c r="CP1373" s="420"/>
      <c r="CQ1373" s="420"/>
      <c r="CR1373" s="420"/>
      <c r="CS1373" s="420"/>
      <c r="CT1373" s="420"/>
      <c r="CU1373" s="420"/>
      <c r="CV1373" s="420"/>
      <c r="CW1373" s="420"/>
      <c r="CX1373" s="420"/>
      <c r="CY1373" s="420"/>
      <c r="CZ1373" s="420"/>
      <c r="DA1373" s="420"/>
      <c r="DB1373" s="420"/>
      <c r="DC1373" s="420"/>
      <c r="DD1373" s="420"/>
      <c r="DE1373" s="420"/>
      <c r="DF1373" s="420"/>
      <c r="DG1373" s="420"/>
      <c r="DH1373" s="420"/>
      <c r="DI1373" s="420"/>
      <c r="DJ1373" s="420"/>
      <c r="DK1373" s="420"/>
      <c r="DL1373" s="420"/>
      <c r="DM1373" s="420"/>
      <c r="DN1373" s="420"/>
      <c r="DO1373" s="420"/>
      <c r="DP1373" s="420"/>
      <c r="DQ1373" s="420"/>
      <c r="DR1373" s="420"/>
      <c r="DS1373" s="420"/>
      <c r="DT1373" s="420"/>
      <c r="DU1373" s="420"/>
      <c r="DV1373" s="420"/>
      <c r="DW1373" s="420"/>
      <c r="DX1373" s="420"/>
      <c r="DY1373" s="420"/>
      <c r="DZ1373" s="420"/>
      <c r="EA1373" s="420"/>
      <c r="EB1373" s="420"/>
      <c r="EC1373" s="420"/>
      <c r="ED1373" s="420"/>
      <c r="EE1373" s="420"/>
      <c r="EF1373" s="420"/>
      <c r="EG1373" s="420"/>
      <c r="EH1373" s="420"/>
      <c r="EI1373" s="420"/>
      <c r="EJ1373" s="420"/>
      <c r="EK1373" s="420"/>
      <c r="EL1373" s="420"/>
      <c r="EM1373" s="420"/>
      <c r="EN1373" s="420"/>
      <c r="EO1373" s="420"/>
      <c r="EP1373" s="420"/>
      <c r="EQ1373" s="420"/>
      <c r="ER1373" s="420"/>
      <c r="ES1373" s="420"/>
      <c r="ET1373" s="420"/>
      <c r="EU1373" s="420"/>
      <c r="EV1373" s="420"/>
      <c r="EW1373" s="420"/>
      <c r="EX1373" s="420"/>
      <c r="EY1373" s="420"/>
      <c r="EZ1373" s="420"/>
      <c r="FA1373" s="420"/>
      <c r="FB1373" s="420"/>
      <c r="FC1373" s="420"/>
      <c r="FD1373" s="420"/>
      <c r="FE1373" s="420"/>
      <c r="FF1373" s="420"/>
      <c r="FG1373" s="420"/>
      <c r="FH1373" s="420"/>
      <c r="FI1373" s="420"/>
      <c r="FJ1373" s="420"/>
      <c r="FK1373" s="420"/>
      <c r="FL1373" s="420"/>
      <c r="FM1373" s="420"/>
      <c r="FN1373" s="420"/>
      <c r="FO1373" s="420"/>
      <c r="FP1373" s="420"/>
      <c r="FQ1373" s="420"/>
      <c r="FR1373" s="420"/>
      <c r="FS1373" s="420"/>
      <c r="FT1373" s="420"/>
      <c r="FU1373" s="420"/>
      <c r="FV1373" s="420"/>
      <c r="FW1373" s="420"/>
      <c r="FX1373" s="420"/>
      <c r="FY1373" s="420"/>
    </row>
    <row r="1374" spans="1:181" s="421" customFormat="1" ht="344.25">
      <c r="A1374" s="918" t="s">
        <v>1022</v>
      </c>
      <c r="B1374" s="927" t="s">
        <v>1023</v>
      </c>
      <c r="C1374" s="970" t="s">
        <v>47</v>
      </c>
      <c r="D1374" s="970">
        <v>30</v>
      </c>
      <c r="E1374" s="922"/>
      <c r="F1374" s="987">
        <f t="shared" si="52"/>
        <v>0</v>
      </c>
      <c r="G1374" s="420"/>
      <c r="H1374" s="420"/>
      <c r="I1374" s="420"/>
      <c r="J1374" s="420"/>
      <c r="K1374" s="420"/>
      <c r="L1374" s="420"/>
      <c r="M1374" s="420"/>
      <c r="N1374" s="923">
        <f t="shared" si="53"/>
        <v>0</v>
      </c>
      <c r="O1374" s="923">
        <f t="shared" si="54"/>
        <v>0</v>
      </c>
      <c r="P1374" s="420"/>
      <c r="Q1374" s="420"/>
      <c r="R1374" s="420"/>
      <c r="S1374" s="420"/>
      <c r="T1374" s="420"/>
      <c r="U1374" s="420"/>
      <c r="V1374" s="420"/>
      <c r="W1374" s="420"/>
      <c r="X1374" s="420"/>
      <c r="Y1374" s="420"/>
      <c r="Z1374" s="420"/>
      <c r="AA1374" s="420"/>
      <c r="AB1374" s="420"/>
      <c r="AC1374" s="420"/>
      <c r="AD1374" s="420"/>
      <c r="AE1374" s="420"/>
      <c r="AF1374" s="420"/>
      <c r="AG1374" s="420"/>
      <c r="AH1374" s="420"/>
      <c r="AI1374" s="420"/>
      <c r="AJ1374" s="420"/>
      <c r="AK1374" s="420"/>
      <c r="AL1374" s="420"/>
      <c r="AM1374" s="420"/>
      <c r="AN1374" s="420"/>
      <c r="AO1374" s="420"/>
      <c r="AP1374" s="420"/>
      <c r="AQ1374" s="420"/>
      <c r="AR1374" s="420"/>
      <c r="AS1374" s="420"/>
      <c r="AT1374" s="420"/>
      <c r="AU1374" s="420"/>
      <c r="AV1374" s="420"/>
      <c r="AW1374" s="420"/>
      <c r="AX1374" s="420"/>
      <c r="AY1374" s="420"/>
      <c r="AZ1374" s="420"/>
      <c r="BA1374" s="420"/>
      <c r="BB1374" s="420"/>
      <c r="BC1374" s="420"/>
      <c r="BD1374" s="420"/>
      <c r="BE1374" s="420"/>
      <c r="BF1374" s="420"/>
      <c r="BG1374" s="420"/>
      <c r="BH1374" s="420"/>
      <c r="BI1374" s="420"/>
      <c r="BJ1374" s="420"/>
      <c r="BK1374" s="420"/>
      <c r="BL1374" s="420"/>
      <c r="BM1374" s="420"/>
      <c r="BN1374" s="420"/>
      <c r="BO1374" s="420"/>
      <c r="BP1374" s="420"/>
      <c r="BQ1374" s="420"/>
      <c r="BR1374" s="420"/>
      <c r="BS1374" s="420"/>
      <c r="BT1374" s="420"/>
      <c r="BU1374" s="420"/>
      <c r="BV1374" s="420"/>
      <c r="BW1374" s="420"/>
      <c r="BX1374" s="420"/>
      <c r="BY1374" s="420"/>
      <c r="BZ1374" s="420"/>
      <c r="CA1374" s="420"/>
      <c r="CB1374" s="420"/>
      <c r="CC1374" s="420"/>
      <c r="CD1374" s="420"/>
      <c r="CE1374" s="420"/>
      <c r="CF1374" s="420"/>
      <c r="CG1374" s="420"/>
      <c r="CH1374" s="420"/>
      <c r="CI1374" s="420"/>
      <c r="CJ1374" s="420"/>
      <c r="CK1374" s="420"/>
      <c r="CL1374" s="420"/>
      <c r="CM1374" s="420"/>
      <c r="CN1374" s="420"/>
      <c r="CO1374" s="420"/>
      <c r="CP1374" s="420"/>
      <c r="CQ1374" s="420"/>
      <c r="CR1374" s="420"/>
      <c r="CS1374" s="420"/>
      <c r="CT1374" s="420"/>
      <c r="CU1374" s="420"/>
      <c r="CV1374" s="420"/>
      <c r="CW1374" s="420"/>
      <c r="CX1374" s="420"/>
      <c r="CY1374" s="420"/>
      <c r="CZ1374" s="420"/>
      <c r="DA1374" s="420"/>
      <c r="DB1374" s="420"/>
      <c r="DC1374" s="420"/>
      <c r="DD1374" s="420"/>
      <c r="DE1374" s="420"/>
      <c r="DF1374" s="420"/>
      <c r="DG1374" s="420"/>
      <c r="DH1374" s="420"/>
      <c r="DI1374" s="420"/>
      <c r="DJ1374" s="420"/>
      <c r="DK1374" s="420"/>
      <c r="DL1374" s="420"/>
      <c r="DM1374" s="420"/>
      <c r="DN1374" s="420"/>
      <c r="DO1374" s="420"/>
      <c r="DP1374" s="420"/>
      <c r="DQ1374" s="420"/>
      <c r="DR1374" s="420"/>
      <c r="DS1374" s="420"/>
      <c r="DT1374" s="420"/>
      <c r="DU1374" s="420"/>
      <c r="DV1374" s="420"/>
      <c r="DW1374" s="420"/>
      <c r="DX1374" s="420"/>
      <c r="DY1374" s="420"/>
      <c r="DZ1374" s="420"/>
      <c r="EA1374" s="420"/>
      <c r="EB1374" s="420"/>
      <c r="EC1374" s="420"/>
      <c r="ED1374" s="420"/>
      <c r="EE1374" s="420"/>
      <c r="EF1374" s="420"/>
      <c r="EG1374" s="420"/>
      <c r="EH1374" s="420"/>
      <c r="EI1374" s="420"/>
      <c r="EJ1374" s="420"/>
      <c r="EK1374" s="420"/>
      <c r="EL1374" s="420"/>
      <c r="EM1374" s="420"/>
      <c r="EN1374" s="420"/>
      <c r="EO1374" s="420"/>
      <c r="EP1374" s="420"/>
      <c r="EQ1374" s="420"/>
      <c r="ER1374" s="420"/>
      <c r="ES1374" s="420"/>
      <c r="ET1374" s="420"/>
      <c r="EU1374" s="420"/>
      <c r="EV1374" s="420"/>
      <c r="EW1374" s="420"/>
      <c r="EX1374" s="420"/>
      <c r="EY1374" s="420"/>
      <c r="EZ1374" s="420"/>
      <c r="FA1374" s="420"/>
      <c r="FB1374" s="420"/>
      <c r="FC1374" s="420"/>
      <c r="FD1374" s="420"/>
      <c r="FE1374" s="420"/>
      <c r="FF1374" s="420"/>
      <c r="FG1374" s="420"/>
      <c r="FH1374" s="420"/>
      <c r="FI1374" s="420"/>
      <c r="FJ1374" s="420"/>
      <c r="FK1374" s="420"/>
      <c r="FL1374" s="420"/>
      <c r="FM1374" s="420"/>
      <c r="FN1374" s="420"/>
      <c r="FO1374" s="420"/>
      <c r="FP1374" s="420"/>
      <c r="FQ1374" s="420"/>
      <c r="FR1374" s="420"/>
      <c r="FS1374" s="420"/>
      <c r="FT1374" s="420"/>
      <c r="FU1374" s="420"/>
      <c r="FV1374" s="420"/>
      <c r="FW1374" s="420"/>
      <c r="FX1374" s="420"/>
      <c r="FY1374" s="420"/>
    </row>
    <row r="1375" spans="1:181" s="421" customFormat="1" ht="115.5" customHeight="1">
      <c r="A1375" s="918" t="s">
        <v>1024</v>
      </c>
      <c r="B1375" s="927" t="s">
        <v>1025</v>
      </c>
      <c r="C1375" s="970" t="s">
        <v>47</v>
      </c>
      <c r="D1375" s="970">
        <v>3</v>
      </c>
      <c r="E1375" s="922"/>
      <c r="F1375" s="987">
        <f t="shared" si="52"/>
        <v>0</v>
      </c>
      <c r="G1375" s="420"/>
      <c r="H1375" s="420"/>
      <c r="I1375" s="420"/>
      <c r="J1375" s="420"/>
      <c r="K1375" s="420"/>
      <c r="L1375" s="420"/>
      <c r="M1375" s="420"/>
      <c r="N1375" s="923">
        <f t="shared" si="53"/>
        <v>0</v>
      </c>
      <c r="O1375" s="923">
        <f t="shared" si="54"/>
        <v>0</v>
      </c>
      <c r="P1375" s="420"/>
      <c r="Q1375" s="420"/>
      <c r="R1375" s="420"/>
      <c r="S1375" s="420"/>
      <c r="T1375" s="420"/>
      <c r="U1375" s="420"/>
      <c r="V1375" s="420"/>
      <c r="W1375" s="420"/>
      <c r="X1375" s="420"/>
      <c r="Y1375" s="420"/>
      <c r="Z1375" s="420"/>
      <c r="AA1375" s="420"/>
      <c r="AB1375" s="420"/>
      <c r="AC1375" s="420"/>
      <c r="AD1375" s="420"/>
      <c r="AE1375" s="420"/>
      <c r="AF1375" s="420"/>
      <c r="AG1375" s="420"/>
      <c r="AH1375" s="420"/>
      <c r="AI1375" s="420"/>
      <c r="AJ1375" s="420"/>
      <c r="AK1375" s="420"/>
      <c r="AL1375" s="420"/>
      <c r="AM1375" s="420"/>
      <c r="AN1375" s="420"/>
      <c r="AO1375" s="420"/>
      <c r="AP1375" s="420"/>
      <c r="AQ1375" s="420"/>
      <c r="AR1375" s="420"/>
      <c r="AS1375" s="420"/>
      <c r="AT1375" s="420"/>
      <c r="AU1375" s="420"/>
      <c r="AV1375" s="420"/>
      <c r="AW1375" s="420"/>
      <c r="AX1375" s="420"/>
      <c r="AY1375" s="420"/>
      <c r="AZ1375" s="420"/>
      <c r="BA1375" s="420"/>
      <c r="BB1375" s="420"/>
      <c r="BC1375" s="420"/>
      <c r="BD1375" s="420"/>
      <c r="BE1375" s="420"/>
      <c r="BF1375" s="420"/>
      <c r="BG1375" s="420"/>
      <c r="BH1375" s="420"/>
      <c r="BI1375" s="420"/>
      <c r="BJ1375" s="420"/>
      <c r="BK1375" s="420"/>
      <c r="BL1375" s="420"/>
      <c r="BM1375" s="420"/>
      <c r="BN1375" s="420"/>
      <c r="BO1375" s="420"/>
      <c r="BP1375" s="420"/>
      <c r="BQ1375" s="420"/>
      <c r="BR1375" s="420"/>
      <c r="BS1375" s="420"/>
      <c r="BT1375" s="420"/>
      <c r="BU1375" s="420"/>
      <c r="BV1375" s="420"/>
      <c r="BW1375" s="420"/>
      <c r="BX1375" s="420"/>
      <c r="BY1375" s="420"/>
      <c r="BZ1375" s="420"/>
      <c r="CA1375" s="420"/>
      <c r="CB1375" s="420"/>
      <c r="CC1375" s="420"/>
      <c r="CD1375" s="420"/>
      <c r="CE1375" s="420"/>
      <c r="CF1375" s="420"/>
      <c r="CG1375" s="420"/>
      <c r="CH1375" s="420"/>
      <c r="CI1375" s="420"/>
      <c r="CJ1375" s="420"/>
      <c r="CK1375" s="420"/>
      <c r="CL1375" s="420"/>
      <c r="CM1375" s="420"/>
      <c r="CN1375" s="420"/>
      <c r="CO1375" s="420"/>
      <c r="CP1375" s="420"/>
      <c r="CQ1375" s="420"/>
      <c r="CR1375" s="420"/>
      <c r="CS1375" s="420"/>
      <c r="CT1375" s="420"/>
      <c r="CU1375" s="420"/>
      <c r="CV1375" s="420"/>
      <c r="CW1375" s="420"/>
      <c r="CX1375" s="420"/>
      <c r="CY1375" s="420"/>
      <c r="CZ1375" s="420"/>
      <c r="DA1375" s="420"/>
      <c r="DB1375" s="420"/>
      <c r="DC1375" s="420"/>
      <c r="DD1375" s="420"/>
      <c r="DE1375" s="420"/>
      <c r="DF1375" s="420"/>
      <c r="DG1375" s="420"/>
      <c r="DH1375" s="420"/>
      <c r="DI1375" s="420"/>
      <c r="DJ1375" s="420"/>
      <c r="DK1375" s="420"/>
      <c r="DL1375" s="420"/>
      <c r="DM1375" s="420"/>
      <c r="DN1375" s="420"/>
      <c r="DO1375" s="420"/>
      <c r="DP1375" s="420"/>
      <c r="DQ1375" s="420"/>
      <c r="DR1375" s="420"/>
      <c r="DS1375" s="420"/>
      <c r="DT1375" s="420"/>
      <c r="DU1375" s="420"/>
      <c r="DV1375" s="420"/>
      <c r="DW1375" s="420"/>
      <c r="DX1375" s="420"/>
      <c r="DY1375" s="420"/>
      <c r="DZ1375" s="420"/>
      <c r="EA1375" s="420"/>
      <c r="EB1375" s="420"/>
      <c r="EC1375" s="420"/>
      <c r="ED1375" s="420"/>
      <c r="EE1375" s="420"/>
      <c r="EF1375" s="420"/>
      <c r="EG1375" s="420"/>
      <c r="EH1375" s="420"/>
      <c r="EI1375" s="420"/>
      <c r="EJ1375" s="420"/>
      <c r="EK1375" s="420"/>
      <c r="EL1375" s="420"/>
      <c r="EM1375" s="420"/>
      <c r="EN1375" s="420"/>
      <c r="EO1375" s="420"/>
      <c r="EP1375" s="420"/>
      <c r="EQ1375" s="420"/>
      <c r="ER1375" s="420"/>
      <c r="ES1375" s="420"/>
      <c r="ET1375" s="420"/>
      <c r="EU1375" s="420"/>
      <c r="EV1375" s="420"/>
      <c r="EW1375" s="420"/>
      <c r="EX1375" s="420"/>
      <c r="EY1375" s="420"/>
      <c r="EZ1375" s="420"/>
      <c r="FA1375" s="420"/>
      <c r="FB1375" s="420"/>
      <c r="FC1375" s="420"/>
      <c r="FD1375" s="420"/>
      <c r="FE1375" s="420"/>
      <c r="FF1375" s="420"/>
      <c r="FG1375" s="420"/>
      <c r="FH1375" s="420"/>
      <c r="FI1375" s="420"/>
      <c r="FJ1375" s="420"/>
      <c r="FK1375" s="420"/>
      <c r="FL1375" s="420"/>
      <c r="FM1375" s="420"/>
      <c r="FN1375" s="420"/>
      <c r="FO1375" s="420"/>
      <c r="FP1375" s="420"/>
      <c r="FQ1375" s="420"/>
      <c r="FR1375" s="420"/>
      <c r="FS1375" s="420"/>
      <c r="FT1375" s="420"/>
      <c r="FU1375" s="420"/>
      <c r="FV1375" s="420"/>
      <c r="FW1375" s="420"/>
      <c r="FX1375" s="420"/>
      <c r="FY1375" s="420"/>
    </row>
    <row r="1376" spans="1:181" s="421" customFormat="1" ht="127.5" customHeight="1">
      <c r="A1376" s="918" t="s">
        <v>1026</v>
      </c>
      <c r="B1376" s="927" t="s">
        <v>1027</v>
      </c>
      <c r="C1376" s="970" t="s">
        <v>47</v>
      </c>
      <c r="D1376" s="970">
        <v>1</v>
      </c>
      <c r="E1376" s="922"/>
      <c r="F1376" s="987">
        <f t="shared" si="52"/>
        <v>0</v>
      </c>
      <c r="G1376" s="420"/>
      <c r="H1376" s="420"/>
      <c r="I1376" s="420"/>
      <c r="J1376" s="420"/>
      <c r="K1376" s="420"/>
      <c r="L1376" s="420"/>
      <c r="M1376" s="420"/>
      <c r="N1376" s="923">
        <f t="shared" si="53"/>
        <v>0</v>
      </c>
      <c r="O1376" s="923">
        <f t="shared" si="54"/>
        <v>0</v>
      </c>
      <c r="P1376" s="420"/>
      <c r="Q1376" s="420"/>
      <c r="R1376" s="420"/>
      <c r="S1376" s="420"/>
      <c r="T1376" s="420"/>
      <c r="U1376" s="420"/>
      <c r="V1376" s="420"/>
      <c r="W1376" s="420"/>
      <c r="X1376" s="420"/>
      <c r="Y1376" s="420"/>
      <c r="Z1376" s="420"/>
      <c r="AA1376" s="420"/>
      <c r="AB1376" s="420"/>
      <c r="AC1376" s="420"/>
      <c r="AD1376" s="420"/>
      <c r="AE1376" s="420"/>
      <c r="AF1376" s="420"/>
      <c r="AG1376" s="420"/>
      <c r="AH1376" s="420"/>
      <c r="AI1376" s="420"/>
      <c r="AJ1376" s="420"/>
      <c r="AK1376" s="420"/>
      <c r="AL1376" s="420"/>
      <c r="AM1376" s="420"/>
      <c r="AN1376" s="420"/>
      <c r="AO1376" s="420"/>
      <c r="AP1376" s="420"/>
      <c r="AQ1376" s="420"/>
      <c r="AR1376" s="420"/>
      <c r="AS1376" s="420"/>
      <c r="AT1376" s="420"/>
      <c r="AU1376" s="420"/>
      <c r="AV1376" s="420"/>
      <c r="AW1376" s="420"/>
      <c r="AX1376" s="420"/>
      <c r="AY1376" s="420"/>
      <c r="AZ1376" s="420"/>
      <c r="BA1376" s="420"/>
      <c r="BB1376" s="420"/>
      <c r="BC1376" s="420"/>
      <c r="BD1376" s="420"/>
      <c r="BE1376" s="420"/>
      <c r="BF1376" s="420"/>
      <c r="BG1376" s="420"/>
      <c r="BH1376" s="420"/>
      <c r="BI1376" s="420"/>
      <c r="BJ1376" s="420"/>
      <c r="BK1376" s="420"/>
      <c r="BL1376" s="420"/>
      <c r="BM1376" s="420"/>
      <c r="BN1376" s="420"/>
      <c r="BO1376" s="420"/>
      <c r="BP1376" s="420"/>
      <c r="BQ1376" s="420"/>
      <c r="BR1376" s="420"/>
      <c r="BS1376" s="420"/>
      <c r="BT1376" s="420"/>
      <c r="BU1376" s="420"/>
      <c r="BV1376" s="420"/>
      <c r="BW1376" s="420"/>
      <c r="BX1376" s="420"/>
      <c r="BY1376" s="420"/>
      <c r="BZ1376" s="420"/>
      <c r="CA1376" s="420"/>
      <c r="CB1376" s="420"/>
      <c r="CC1376" s="420"/>
      <c r="CD1376" s="420"/>
      <c r="CE1376" s="420"/>
      <c r="CF1376" s="420"/>
      <c r="CG1376" s="420"/>
      <c r="CH1376" s="420"/>
      <c r="CI1376" s="420"/>
      <c r="CJ1376" s="420"/>
      <c r="CK1376" s="420"/>
      <c r="CL1376" s="420"/>
      <c r="CM1376" s="420"/>
      <c r="CN1376" s="420"/>
      <c r="CO1376" s="420"/>
      <c r="CP1376" s="420"/>
      <c r="CQ1376" s="420"/>
      <c r="CR1376" s="420"/>
      <c r="CS1376" s="420"/>
      <c r="CT1376" s="420"/>
      <c r="CU1376" s="420"/>
      <c r="CV1376" s="420"/>
      <c r="CW1376" s="420"/>
      <c r="CX1376" s="420"/>
      <c r="CY1376" s="420"/>
      <c r="CZ1376" s="420"/>
      <c r="DA1376" s="420"/>
      <c r="DB1376" s="420"/>
      <c r="DC1376" s="420"/>
      <c r="DD1376" s="420"/>
      <c r="DE1376" s="420"/>
      <c r="DF1376" s="420"/>
      <c r="DG1376" s="420"/>
      <c r="DH1376" s="420"/>
      <c r="DI1376" s="420"/>
      <c r="DJ1376" s="420"/>
      <c r="DK1376" s="420"/>
      <c r="DL1376" s="420"/>
      <c r="DM1376" s="420"/>
      <c r="DN1376" s="420"/>
      <c r="DO1376" s="420"/>
      <c r="DP1376" s="420"/>
      <c r="DQ1376" s="420"/>
      <c r="DR1376" s="420"/>
      <c r="DS1376" s="420"/>
      <c r="DT1376" s="420"/>
      <c r="DU1376" s="420"/>
      <c r="DV1376" s="420"/>
      <c r="DW1376" s="420"/>
      <c r="DX1376" s="420"/>
      <c r="DY1376" s="420"/>
      <c r="DZ1376" s="420"/>
      <c r="EA1376" s="420"/>
      <c r="EB1376" s="420"/>
      <c r="EC1376" s="420"/>
      <c r="ED1376" s="420"/>
      <c r="EE1376" s="420"/>
      <c r="EF1376" s="420"/>
      <c r="EG1376" s="420"/>
      <c r="EH1376" s="420"/>
      <c r="EI1376" s="420"/>
      <c r="EJ1376" s="420"/>
      <c r="EK1376" s="420"/>
      <c r="EL1376" s="420"/>
      <c r="EM1376" s="420"/>
      <c r="EN1376" s="420"/>
      <c r="EO1376" s="420"/>
      <c r="EP1376" s="420"/>
      <c r="EQ1376" s="420"/>
      <c r="ER1376" s="420"/>
      <c r="ES1376" s="420"/>
      <c r="ET1376" s="420"/>
      <c r="EU1376" s="420"/>
      <c r="EV1376" s="420"/>
      <c r="EW1376" s="420"/>
      <c r="EX1376" s="420"/>
      <c r="EY1376" s="420"/>
      <c r="EZ1376" s="420"/>
      <c r="FA1376" s="420"/>
      <c r="FB1376" s="420"/>
      <c r="FC1376" s="420"/>
      <c r="FD1376" s="420"/>
      <c r="FE1376" s="420"/>
      <c r="FF1376" s="420"/>
      <c r="FG1376" s="420"/>
      <c r="FH1376" s="420"/>
      <c r="FI1376" s="420"/>
      <c r="FJ1376" s="420"/>
      <c r="FK1376" s="420"/>
      <c r="FL1376" s="420"/>
      <c r="FM1376" s="420"/>
      <c r="FN1376" s="420"/>
      <c r="FO1376" s="420"/>
      <c r="FP1376" s="420"/>
      <c r="FQ1376" s="420"/>
      <c r="FR1376" s="420"/>
      <c r="FS1376" s="420"/>
      <c r="FT1376" s="420"/>
      <c r="FU1376" s="420"/>
      <c r="FV1376" s="420"/>
      <c r="FW1376" s="420"/>
      <c r="FX1376" s="420"/>
      <c r="FY1376" s="420"/>
    </row>
    <row r="1377" spans="1:256" s="421" customFormat="1" ht="80.25" customHeight="1">
      <c r="A1377" s="918" t="s">
        <v>1028</v>
      </c>
      <c r="B1377" s="927" t="s">
        <v>1029</v>
      </c>
      <c r="C1377" s="970" t="s">
        <v>47</v>
      </c>
      <c r="D1377" s="970">
        <v>3</v>
      </c>
      <c r="E1377" s="922"/>
      <c r="F1377" s="987">
        <f t="shared" si="52"/>
        <v>0</v>
      </c>
      <c r="G1377" s="420"/>
      <c r="H1377" s="420"/>
      <c r="I1377" s="420"/>
      <c r="J1377" s="420"/>
      <c r="K1377" s="420"/>
      <c r="L1377" s="420"/>
      <c r="M1377" s="420"/>
      <c r="N1377" s="923">
        <f t="shared" si="53"/>
        <v>0</v>
      </c>
      <c r="O1377" s="923">
        <f t="shared" si="54"/>
        <v>0</v>
      </c>
      <c r="P1377" s="420"/>
      <c r="Q1377" s="420"/>
      <c r="R1377" s="420"/>
      <c r="S1377" s="420"/>
      <c r="T1377" s="420"/>
      <c r="U1377" s="420"/>
      <c r="V1377" s="420"/>
      <c r="W1377" s="420"/>
      <c r="X1377" s="420"/>
      <c r="Y1377" s="420"/>
      <c r="Z1377" s="420"/>
      <c r="AA1377" s="420"/>
      <c r="AB1377" s="420"/>
      <c r="AC1377" s="420"/>
      <c r="AD1377" s="420"/>
      <c r="AE1377" s="420"/>
      <c r="AF1377" s="420"/>
      <c r="AG1377" s="420"/>
      <c r="AH1377" s="420"/>
      <c r="AI1377" s="420"/>
      <c r="AJ1377" s="420"/>
      <c r="AK1377" s="420"/>
      <c r="AL1377" s="420"/>
      <c r="AM1377" s="420"/>
      <c r="AN1377" s="420"/>
      <c r="AO1377" s="420"/>
      <c r="AP1377" s="420"/>
      <c r="AQ1377" s="420"/>
      <c r="AR1377" s="420"/>
      <c r="AS1377" s="420"/>
      <c r="AT1377" s="420"/>
      <c r="AU1377" s="420"/>
      <c r="AV1377" s="420"/>
      <c r="AW1377" s="420"/>
      <c r="AX1377" s="420"/>
      <c r="AY1377" s="420"/>
      <c r="AZ1377" s="420"/>
      <c r="BA1377" s="420"/>
      <c r="BB1377" s="420"/>
      <c r="BC1377" s="420"/>
      <c r="BD1377" s="420"/>
      <c r="BE1377" s="420"/>
      <c r="BF1377" s="420"/>
      <c r="BG1377" s="420"/>
      <c r="BH1377" s="420"/>
      <c r="BI1377" s="420"/>
      <c r="BJ1377" s="420"/>
      <c r="BK1377" s="420"/>
      <c r="BL1377" s="420"/>
      <c r="BM1377" s="420"/>
      <c r="BN1377" s="420"/>
      <c r="BO1377" s="420"/>
      <c r="BP1377" s="420"/>
      <c r="BQ1377" s="420"/>
      <c r="BR1377" s="420"/>
      <c r="BS1377" s="420"/>
      <c r="BT1377" s="420"/>
      <c r="BU1377" s="420"/>
      <c r="BV1377" s="420"/>
      <c r="BW1377" s="420"/>
      <c r="BX1377" s="420"/>
      <c r="BY1377" s="420"/>
      <c r="BZ1377" s="420"/>
      <c r="CA1377" s="420"/>
      <c r="CB1377" s="420"/>
      <c r="CC1377" s="420"/>
      <c r="CD1377" s="420"/>
      <c r="CE1377" s="420"/>
      <c r="CF1377" s="420"/>
      <c r="CG1377" s="420"/>
      <c r="CH1377" s="420"/>
      <c r="CI1377" s="420"/>
      <c r="CJ1377" s="420"/>
      <c r="CK1377" s="420"/>
      <c r="CL1377" s="420"/>
      <c r="CM1377" s="420"/>
      <c r="CN1377" s="420"/>
      <c r="CO1377" s="420"/>
      <c r="CP1377" s="420"/>
      <c r="CQ1377" s="420"/>
      <c r="CR1377" s="420"/>
      <c r="CS1377" s="420"/>
      <c r="CT1377" s="420"/>
      <c r="CU1377" s="420"/>
      <c r="CV1377" s="420"/>
      <c r="CW1377" s="420"/>
      <c r="CX1377" s="420"/>
      <c r="CY1377" s="420"/>
      <c r="CZ1377" s="420"/>
      <c r="DA1377" s="420"/>
      <c r="DB1377" s="420"/>
      <c r="DC1377" s="420"/>
      <c r="DD1377" s="420"/>
      <c r="DE1377" s="420"/>
      <c r="DF1377" s="420"/>
      <c r="DG1377" s="420"/>
      <c r="DH1377" s="420"/>
      <c r="DI1377" s="420"/>
      <c r="DJ1377" s="420"/>
      <c r="DK1377" s="420"/>
      <c r="DL1377" s="420"/>
      <c r="DM1377" s="420"/>
      <c r="DN1377" s="420"/>
      <c r="DO1377" s="420"/>
      <c r="DP1377" s="420"/>
      <c r="DQ1377" s="420"/>
      <c r="DR1377" s="420"/>
      <c r="DS1377" s="420"/>
      <c r="DT1377" s="420"/>
      <c r="DU1377" s="420"/>
      <c r="DV1377" s="420"/>
      <c r="DW1377" s="420"/>
      <c r="DX1377" s="420"/>
      <c r="DY1377" s="420"/>
      <c r="DZ1377" s="420"/>
      <c r="EA1377" s="420"/>
      <c r="EB1377" s="420"/>
      <c r="EC1377" s="420"/>
      <c r="ED1377" s="420"/>
      <c r="EE1377" s="420"/>
      <c r="EF1377" s="420"/>
      <c r="EG1377" s="420"/>
      <c r="EH1377" s="420"/>
      <c r="EI1377" s="420"/>
      <c r="EJ1377" s="420"/>
      <c r="EK1377" s="420"/>
      <c r="EL1377" s="420"/>
      <c r="EM1377" s="420"/>
      <c r="EN1377" s="420"/>
      <c r="EO1377" s="420"/>
      <c r="EP1377" s="420"/>
      <c r="EQ1377" s="420"/>
      <c r="ER1377" s="420"/>
      <c r="ES1377" s="420"/>
      <c r="ET1377" s="420"/>
      <c r="EU1377" s="420"/>
      <c r="EV1377" s="420"/>
      <c r="EW1377" s="420"/>
      <c r="EX1377" s="420"/>
      <c r="EY1377" s="420"/>
      <c r="EZ1377" s="420"/>
      <c r="FA1377" s="420"/>
      <c r="FB1377" s="420"/>
      <c r="FC1377" s="420"/>
      <c r="FD1377" s="420"/>
      <c r="FE1377" s="420"/>
      <c r="FF1377" s="420"/>
      <c r="FG1377" s="420"/>
      <c r="FH1377" s="420"/>
      <c r="FI1377" s="420"/>
      <c r="FJ1377" s="420"/>
      <c r="FK1377" s="420"/>
      <c r="FL1377" s="420"/>
      <c r="FM1377" s="420"/>
      <c r="FN1377" s="420"/>
      <c r="FO1377" s="420"/>
      <c r="FP1377" s="420"/>
      <c r="FQ1377" s="420"/>
      <c r="FR1377" s="420"/>
      <c r="FS1377" s="420"/>
      <c r="FT1377" s="420"/>
      <c r="FU1377" s="420"/>
      <c r="FV1377" s="420"/>
      <c r="FW1377" s="420"/>
      <c r="FX1377" s="420"/>
      <c r="FY1377" s="420"/>
      <c r="IV1377" s="420"/>
    </row>
    <row r="1378" spans="1:256" s="431" customFormat="1" ht="19.5" customHeight="1">
      <c r="A1378" s="918"/>
      <c r="B1378" s="985" t="s">
        <v>1030</v>
      </c>
      <c r="C1378" s="970"/>
      <c r="D1378" s="970"/>
      <c r="E1378" s="956"/>
      <c r="F1378" s="956"/>
      <c r="N1378" s="923"/>
      <c r="O1378" s="923"/>
      <c r="FZ1378" s="432"/>
      <c r="GA1378" s="432"/>
      <c r="GB1378" s="432"/>
      <c r="GC1378" s="432"/>
      <c r="GD1378" s="432"/>
      <c r="GE1378" s="432"/>
      <c r="GF1378" s="432"/>
      <c r="GG1378" s="432"/>
      <c r="GH1378" s="432"/>
      <c r="GI1378" s="432"/>
      <c r="GJ1378" s="432"/>
      <c r="GK1378" s="432"/>
      <c r="GL1378" s="432"/>
      <c r="GM1378" s="432"/>
      <c r="GN1378" s="432"/>
      <c r="GO1378" s="432"/>
      <c r="GP1378" s="432"/>
      <c r="GQ1378" s="432"/>
      <c r="GR1378" s="432"/>
      <c r="GS1378" s="432"/>
      <c r="GT1378" s="432"/>
      <c r="GU1378" s="432"/>
      <c r="GV1378" s="432"/>
      <c r="GW1378" s="432"/>
      <c r="GX1378" s="432"/>
      <c r="GY1378" s="432"/>
      <c r="GZ1378" s="432"/>
      <c r="HA1378" s="432"/>
      <c r="HB1378" s="432"/>
      <c r="HC1378" s="432"/>
      <c r="HD1378" s="432"/>
      <c r="HE1378" s="432"/>
      <c r="HF1378" s="432"/>
      <c r="HG1378" s="432"/>
      <c r="HH1378" s="432"/>
      <c r="HI1378" s="432"/>
      <c r="HJ1378" s="432"/>
      <c r="HK1378" s="432"/>
      <c r="HL1378" s="432"/>
      <c r="HM1378" s="432"/>
      <c r="HN1378" s="432"/>
      <c r="HO1378" s="432"/>
      <c r="HP1378" s="432"/>
      <c r="HQ1378" s="432"/>
      <c r="HR1378" s="432"/>
      <c r="HS1378" s="432"/>
      <c r="HT1378" s="432"/>
      <c r="HU1378" s="432"/>
      <c r="HV1378" s="432"/>
      <c r="HW1378" s="432"/>
      <c r="HX1378" s="432"/>
      <c r="HY1378" s="432"/>
      <c r="HZ1378" s="432"/>
      <c r="IA1378" s="432"/>
      <c r="IB1378" s="432"/>
      <c r="IC1378" s="432"/>
      <c r="ID1378" s="432"/>
      <c r="IE1378" s="432"/>
      <c r="IF1378" s="432"/>
      <c r="IG1378" s="432"/>
      <c r="IH1378" s="432"/>
      <c r="II1378" s="432"/>
      <c r="IJ1378" s="432"/>
      <c r="IK1378" s="432"/>
      <c r="IL1378" s="432"/>
      <c r="IM1378" s="432"/>
      <c r="IN1378" s="432"/>
      <c r="IO1378" s="432"/>
      <c r="IP1378" s="432"/>
      <c r="IQ1378" s="432"/>
      <c r="IR1378" s="432"/>
      <c r="IS1378" s="432"/>
      <c r="IT1378" s="432"/>
      <c r="IU1378" s="432"/>
      <c r="IV1378" s="432"/>
    </row>
    <row r="1379" spans="1:256" s="421" customFormat="1" ht="38.25">
      <c r="A1379" s="918" t="s">
        <v>1031</v>
      </c>
      <c r="B1379" s="927" t="s">
        <v>1032</v>
      </c>
      <c r="C1379" s="970" t="s">
        <v>350</v>
      </c>
      <c r="D1379" s="970">
        <v>250</v>
      </c>
      <c r="E1379" s="922"/>
      <c r="F1379" s="987">
        <f aca="true" t="shared" si="55" ref="F1379:F1384">D1379*E1379</f>
        <v>0</v>
      </c>
      <c r="G1379" s="420"/>
      <c r="H1379" s="420"/>
      <c r="I1379" s="420"/>
      <c r="J1379" s="420"/>
      <c r="K1379" s="420"/>
      <c r="L1379" s="420"/>
      <c r="M1379" s="420"/>
      <c r="N1379" s="923">
        <f aca="true" t="shared" si="56" ref="N1379:N1384">E1379*1.2</f>
        <v>0</v>
      </c>
      <c r="O1379" s="923">
        <f aca="true" t="shared" si="57" ref="O1379:O1384">N1379*D1379</f>
        <v>0</v>
      </c>
      <c r="P1379" s="420"/>
      <c r="Q1379" s="420"/>
      <c r="R1379" s="420"/>
      <c r="S1379" s="420"/>
      <c r="T1379" s="420"/>
      <c r="U1379" s="420"/>
      <c r="V1379" s="420"/>
      <c r="W1379" s="420"/>
      <c r="X1379" s="420"/>
      <c r="Y1379" s="420"/>
      <c r="Z1379" s="420"/>
      <c r="AA1379" s="420"/>
      <c r="AB1379" s="420"/>
      <c r="AC1379" s="420"/>
      <c r="AD1379" s="420"/>
      <c r="AE1379" s="420"/>
      <c r="AF1379" s="420"/>
      <c r="AG1379" s="420"/>
      <c r="AH1379" s="420"/>
      <c r="AI1379" s="420"/>
      <c r="AJ1379" s="420"/>
      <c r="AK1379" s="420"/>
      <c r="AL1379" s="420"/>
      <c r="AM1379" s="420"/>
      <c r="AN1379" s="420"/>
      <c r="AO1379" s="420"/>
      <c r="AP1379" s="420"/>
      <c r="AQ1379" s="420"/>
      <c r="AR1379" s="420"/>
      <c r="AS1379" s="420"/>
      <c r="AT1379" s="420"/>
      <c r="AU1379" s="420"/>
      <c r="AV1379" s="420"/>
      <c r="AW1379" s="420"/>
      <c r="AX1379" s="420"/>
      <c r="AY1379" s="420"/>
      <c r="AZ1379" s="420"/>
      <c r="BA1379" s="420"/>
      <c r="BB1379" s="420"/>
      <c r="BC1379" s="420"/>
      <c r="BD1379" s="420"/>
      <c r="BE1379" s="420"/>
      <c r="BF1379" s="420"/>
      <c r="BG1379" s="420"/>
      <c r="BH1379" s="420"/>
      <c r="BI1379" s="420"/>
      <c r="BJ1379" s="420"/>
      <c r="BK1379" s="420"/>
      <c r="BL1379" s="420"/>
      <c r="BM1379" s="420"/>
      <c r="BN1379" s="420"/>
      <c r="BO1379" s="420"/>
      <c r="BP1379" s="420"/>
      <c r="BQ1379" s="420"/>
      <c r="BR1379" s="420"/>
      <c r="BS1379" s="420"/>
      <c r="BT1379" s="420"/>
      <c r="BU1379" s="420"/>
      <c r="BV1379" s="420"/>
      <c r="BW1379" s="420"/>
      <c r="BX1379" s="420"/>
      <c r="BY1379" s="420"/>
      <c r="BZ1379" s="420"/>
      <c r="CA1379" s="420"/>
      <c r="CB1379" s="420"/>
      <c r="CC1379" s="420"/>
      <c r="CD1379" s="420"/>
      <c r="CE1379" s="420"/>
      <c r="CF1379" s="420"/>
      <c r="CG1379" s="420"/>
      <c r="CH1379" s="420"/>
      <c r="CI1379" s="420"/>
      <c r="CJ1379" s="420"/>
      <c r="CK1379" s="420"/>
      <c r="CL1379" s="420"/>
      <c r="CM1379" s="420"/>
      <c r="CN1379" s="420"/>
      <c r="CO1379" s="420"/>
      <c r="CP1379" s="420"/>
      <c r="CQ1379" s="420"/>
      <c r="CR1379" s="420"/>
      <c r="CS1379" s="420"/>
      <c r="CT1379" s="420"/>
      <c r="CU1379" s="420"/>
      <c r="CV1379" s="420"/>
      <c r="CW1379" s="420"/>
      <c r="CX1379" s="420"/>
      <c r="CY1379" s="420"/>
      <c r="CZ1379" s="420"/>
      <c r="DA1379" s="420"/>
      <c r="DB1379" s="420"/>
      <c r="DC1379" s="420"/>
      <c r="DD1379" s="420"/>
      <c r="DE1379" s="420"/>
      <c r="DF1379" s="420"/>
      <c r="DG1379" s="420"/>
      <c r="DH1379" s="420"/>
      <c r="DI1379" s="420"/>
      <c r="DJ1379" s="420"/>
      <c r="DK1379" s="420"/>
      <c r="DL1379" s="420"/>
      <c r="DM1379" s="420"/>
      <c r="DN1379" s="420"/>
      <c r="DO1379" s="420"/>
      <c r="DP1379" s="420"/>
      <c r="DQ1379" s="420"/>
      <c r="DR1379" s="420"/>
      <c r="DS1379" s="420"/>
      <c r="DT1379" s="420"/>
      <c r="DU1379" s="420"/>
      <c r="DV1379" s="420"/>
      <c r="DW1379" s="420"/>
      <c r="DX1379" s="420"/>
      <c r="DY1379" s="420"/>
      <c r="DZ1379" s="420"/>
      <c r="EA1379" s="420"/>
      <c r="EB1379" s="420"/>
      <c r="EC1379" s="420"/>
      <c r="ED1379" s="420"/>
      <c r="EE1379" s="420"/>
      <c r="EF1379" s="420"/>
      <c r="EG1379" s="420"/>
      <c r="EH1379" s="420"/>
      <c r="EI1379" s="420"/>
      <c r="EJ1379" s="420"/>
      <c r="EK1379" s="420"/>
      <c r="EL1379" s="420"/>
      <c r="EM1379" s="420"/>
      <c r="EN1379" s="420"/>
      <c r="EO1379" s="420"/>
      <c r="EP1379" s="420"/>
      <c r="EQ1379" s="420"/>
      <c r="ER1379" s="420"/>
      <c r="ES1379" s="420"/>
      <c r="ET1379" s="420"/>
      <c r="EU1379" s="420"/>
      <c r="EV1379" s="420"/>
      <c r="EW1379" s="420"/>
      <c r="EX1379" s="420"/>
      <c r="EY1379" s="420"/>
      <c r="EZ1379" s="420"/>
      <c r="FA1379" s="420"/>
      <c r="FB1379" s="420"/>
      <c r="FC1379" s="420"/>
      <c r="FD1379" s="420"/>
      <c r="FE1379" s="420"/>
      <c r="FF1379" s="420"/>
      <c r="FG1379" s="420"/>
      <c r="FH1379" s="420"/>
      <c r="FI1379" s="420"/>
      <c r="FJ1379" s="420"/>
      <c r="FK1379" s="420"/>
      <c r="FL1379" s="420"/>
      <c r="FM1379" s="420"/>
      <c r="FN1379" s="420"/>
      <c r="FO1379" s="420"/>
      <c r="FP1379" s="420"/>
      <c r="FQ1379" s="420"/>
      <c r="FR1379" s="420"/>
      <c r="FS1379" s="420"/>
      <c r="FT1379" s="420"/>
      <c r="FU1379" s="420"/>
      <c r="FV1379" s="420"/>
      <c r="FW1379" s="420"/>
      <c r="FX1379" s="420"/>
      <c r="FY1379" s="420"/>
      <c r="IV1379" s="420"/>
    </row>
    <row r="1380" spans="1:256" s="431" customFormat="1" ht="19.5" customHeight="1">
      <c r="A1380" s="918" t="s">
        <v>1033</v>
      </c>
      <c r="B1380" s="927" t="s">
        <v>1034</v>
      </c>
      <c r="C1380" s="970" t="s">
        <v>350</v>
      </c>
      <c r="D1380" s="970">
        <v>400</v>
      </c>
      <c r="E1380" s="922"/>
      <c r="F1380" s="987">
        <f t="shared" si="55"/>
        <v>0</v>
      </c>
      <c r="N1380" s="923">
        <f t="shared" si="56"/>
        <v>0</v>
      </c>
      <c r="O1380" s="923">
        <f t="shared" si="57"/>
        <v>0</v>
      </c>
      <c r="FZ1380" s="432"/>
      <c r="GA1380" s="432"/>
      <c r="GB1380" s="432"/>
      <c r="GC1380" s="432"/>
      <c r="GD1380" s="432"/>
      <c r="GE1380" s="432"/>
      <c r="GF1380" s="432"/>
      <c r="GG1380" s="432"/>
      <c r="GH1380" s="432"/>
      <c r="GI1380" s="432"/>
      <c r="GJ1380" s="432"/>
      <c r="GK1380" s="432"/>
      <c r="GL1380" s="432"/>
      <c r="GM1380" s="432"/>
      <c r="GN1380" s="432"/>
      <c r="GO1380" s="432"/>
      <c r="GP1380" s="432"/>
      <c r="GQ1380" s="432"/>
      <c r="GR1380" s="432"/>
      <c r="GS1380" s="432"/>
      <c r="GT1380" s="432"/>
      <c r="GU1380" s="432"/>
      <c r="GV1380" s="432"/>
      <c r="GW1380" s="432"/>
      <c r="GX1380" s="432"/>
      <c r="GY1380" s="432"/>
      <c r="GZ1380" s="432"/>
      <c r="HA1380" s="432"/>
      <c r="HB1380" s="432"/>
      <c r="HC1380" s="432"/>
      <c r="HD1380" s="432"/>
      <c r="HE1380" s="432"/>
      <c r="HF1380" s="432"/>
      <c r="HG1380" s="432"/>
      <c r="HH1380" s="432"/>
      <c r="HI1380" s="432"/>
      <c r="HJ1380" s="432"/>
      <c r="HK1380" s="432"/>
      <c r="HL1380" s="432"/>
      <c r="HM1380" s="432"/>
      <c r="HN1380" s="432"/>
      <c r="HO1380" s="432"/>
      <c r="HP1380" s="432"/>
      <c r="HQ1380" s="432"/>
      <c r="HR1380" s="432"/>
      <c r="HS1380" s="432"/>
      <c r="HT1380" s="432"/>
      <c r="HU1380" s="432"/>
      <c r="HV1380" s="432"/>
      <c r="HW1380" s="432"/>
      <c r="HX1380" s="432"/>
      <c r="HY1380" s="432"/>
      <c r="HZ1380" s="432"/>
      <c r="IA1380" s="432"/>
      <c r="IB1380" s="432"/>
      <c r="IC1380" s="432"/>
      <c r="ID1380" s="432"/>
      <c r="IE1380" s="432"/>
      <c r="IF1380" s="432"/>
      <c r="IG1380" s="432"/>
      <c r="IH1380" s="432"/>
      <c r="II1380" s="432"/>
      <c r="IJ1380" s="432"/>
      <c r="IK1380" s="432"/>
      <c r="IL1380" s="432"/>
      <c r="IM1380" s="432"/>
      <c r="IN1380" s="432"/>
      <c r="IO1380" s="432"/>
      <c r="IP1380" s="432"/>
      <c r="IQ1380" s="432"/>
      <c r="IR1380" s="432"/>
      <c r="IS1380" s="432"/>
      <c r="IT1380" s="432"/>
      <c r="IU1380" s="432"/>
      <c r="IV1380" s="432"/>
    </row>
    <row r="1381" spans="1:256" s="431" customFormat="1" ht="44.25" customHeight="1">
      <c r="A1381" s="918" t="s">
        <v>1035</v>
      </c>
      <c r="B1381" s="927" t="s">
        <v>1036</v>
      </c>
      <c r="C1381" s="970" t="s">
        <v>350</v>
      </c>
      <c r="D1381" s="970">
        <v>30</v>
      </c>
      <c r="E1381" s="922"/>
      <c r="F1381" s="987">
        <f t="shared" si="55"/>
        <v>0</v>
      </c>
      <c r="N1381" s="923">
        <f t="shared" si="56"/>
        <v>0</v>
      </c>
      <c r="O1381" s="923">
        <f t="shared" si="57"/>
        <v>0</v>
      </c>
      <c r="FZ1381" s="432"/>
      <c r="GA1381" s="432"/>
      <c r="GB1381" s="432"/>
      <c r="GC1381" s="432"/>
      <c r="GD1381" s="432"/>
      <c r="GE1381" s="432"/>
      <c r="GF1381" s="432"/>
      <c r="GG1381" s="432"/>
      <c r="GH1381" s="432"/>
      <c r="GI1381" s="432"/>
      <c r="GJ1381" s="432"/>
      <c r="GK1381" s="432"/>
      <c r="GL1381" s="432"/>
      <c r="GM1381" s="432"/>
      <c r="GN1381" s="432"/>
      <c r="GO1381" s="432"/>
      <c r="GP1381" s="432"/>
      <c r="GQ1381" s="432"/>
      <c r="GR1381" s="432"/>
      <c r="GS1381" s="432"/>
      <c r="GT1381" s="432"/>
      <c r="GU1381" s="432"/>
      <c r="GV1381" s="432"/>
      <c r="GW1381" s="432"/>
      <c r="GX1381" s="432"/>
      <c r="GY1381" s="432"/>
      <c r="GZ1381" s="432"/>
      <c r="HA1381" s="432"/>
      <c r="HB1381" s="432"/>
      <c r="HC1381" s="432"/>
      <c r="HD1381" s="432"/>
      <c r="HE1381" s="432"/>
      <c r="HF1381" s="432"/>
      <c r="HG1381" s="432"/>
      <c r="HH1381" s="432"/>
      <c r="HI1381" s="432"/>
      <c r="HJ1381" s="432"/>
      <c r="HK1381" s="432"/>
      <c r="HL1381" s="432"/>
      <c r="HM1381" s="432"/>
      <c r="HN1381" s="432"/>
      <c r="HO1381" s="432"/>
      <c r="HP1381" s="432"/>
      <c r="HQ1381" s="432"/>
      <c r="HR1381" s="432"/>
      <c r="HS1381" s="432"/>
      <c r="HT1381" s="432"/>
      <c r="HU1381" s="432"/>
      <c r="HV1381" s="432"/>
      <c r="HW1381" s="432"/>
      <c r="HX1381" s="432"/>
      <c r="HY1381" s="432"/>
      <c r="HZ1381" s="432"/>
      <c r="IA1381" s="432"/>
      <c r="IB1381" s="432"/>
      <c r="IC1381" s="432"/>
      <c r="ID1381" s="432"/>
      <c r="IE1381" s="432"/>
      <c r="IF1381" s="432"/>
      <c r="IG1381" s="432"/>
      <c r="IH1381" s="432"/>
      <c r="II1381" s="432"/>
      <c r="IJ1381" s="432"/>
      <c r="IK1381" s="432"/>
      <c r="IL1381" s="432"/>
      <c r="IM1381" s="432"/>
      <c r="IN1381" s="432"/>
      <c r="IO1381" s="432"/>
      <c r="IP1381" s="432"/>
      <c r="IQ1381" s="432"/>
      <c r="IR1381" s="432"/>
      <c r="IS1381" s="432"/>
      <c r="IT1381" s="432"/>
      <c r="IU1381" s="432"/>
      <c r="IV1381" s="432"/>
    </row>
    <row r="1382" spans="1:181" s="421" customFormat="1" ht="51">
      <c r="A1382" s="918" t="s">
        <v>1037</v>
      </c>
      <c r="B1382" s="927" t="s">
        <v>1038</v>
      </c>
      <c r="C1382" s="970" t="s">
        <v>47</v>
      </c>
      <c r="D1382" s="970">
        <v>90</v>
      </c>
      <c r="E1382" s="922"/>
      <c r="F1382" s="987">
        <f t="shared" si="55"/>
        <v>0</v>
      </c>
      <c r="G1382" s="420"/>
      <c r="H1382" s="420"/>
      <c r="I1382" s="420"/>
      <c r="J1382" s="420"/>
      <c r="K1382" s="420"/>
      <c r="L1382" s="420"/>
      <c r="M1382" s="420"/>
      <c r="N1382" s="923">
        <f t="shared" si="56"/>
        <v>0</v>
      </c>
      <c r="O1382" s="923">
        <f t="shared" si="57"/>
        <v>0</v>
      </c>
      <c r="P1382" s="420"/>
      <c r="Q1382" s="420"/>
      <c r="R1382" s="420"/>
      <c r="S1382" s="420"/>
      <c r="T1382" s="420"/>
      <c r="U1382" s="420"/>
      <c r="V1382" s="420"/>
      <c r="W1382" s="420"/>
      <c r="X1382" s="420"/>
      <c r="Y1382" s="420"/>
      <c r="Z1382" s="420"/>
      <c r="AA1382" s="420"/>
      <c r="AB1382" s="420"/>
      <c r="AC1382" s="420"/>
      <c r="AD1382" s="420"/>
      <c r="AE1382" s="420"/>
      <c r="AF1382" s="420"/>
      <c r="AG1382" s="420"/>
      <c r="AH1382" s="420"/>
      <c r="AI1382" s="420"/>
      <c r="AJ1382" s="420"/>
      <c r="AK1382" s="420"/>
      <c r="AL1382" s="420"/>
      <c r="AM1382" s="420"/>
      <c r="AN1382" s="420"/>
      <c r="AO1382" s="420"/>
      <c r="AP1382" s="420"/>
      <c r="AQ1382" s="420"/>
      <c r="AR1382" s="420"/>
      <c r="AS1382" s="420"/>
      <c r="AT1382" s="420"/>
      <c r="AU1382" s="420"/>
      <c r="AV1382" s="420"/>
      <c r="AW1382" s="420"/>
      <c r="AX1382" s="420"/>
      <c r="AY1382" s="420"/>
      <c r="AZ1382" s="420"/>
      <c r="BA1382" s="420"/>
      <c r="BB1382" s="420"/>
      <c r="BC1382" s="420"/>
      <c r="BD1382" s="420"/>
      <c r="BE1382" s="420"/>
      <c r="BF1382" s="420"/>
      <c r="BG1382" s="420"/>
      <c r="BH1382" s="420"/>
      <c r="BI1382" s="420"/>
      <c r="BJ1382" s="420"/>
      <c r="BK1382" s="420"/>
      <c r="BL1382" s="420"/>
      <c r="BM1382" s="420"/>
      <c r="BN1382" s="420"/>
      <c r="BO1382" s="420"/>
      <c r="BP1382" s="420"/>
      <c r="BQ1382" s="420"/>
      <c r="BR1382" s="420"/>
      <c r="BS1382" s="420"/>
      <c r="BT1382" s="420"/>
      <c r="BU1382" s="420"/>
      <c r="BV1382" s="420"/>
      <c r="BW1382" s="420"/>
      <c r="BX1382" s="420"/>
      <c r="BY1382" s="420"/>
      <c r="BZ1382" s="420"/>
      <c r="CA1382" s="420"/>
      <c r="CB1382" s="420"/>
      <c r="CC1382" s="420"/>
      <c r="CD1382" s="420"/>
      <c r="CE1382" s="420"/>
      <c r="CF1382" s="420"/>
      <c r="CG1382" s="420"/>
      <c r="CH1382" s="420"/>
      <c r="CI1382" s="420"/>
      <c r="CJ1382" s="420"/>
      <c r="CK1382" s="420"/>
      <c r="CL1382" s="420"/>
      <c r="CM1382" s="420"/>
      <c r="CN1382" s="420"/>
      <c r="CO1382" s="420"/>
      <c r="CP1382" s="420"/>
      <c r="CQ1382" s="420"/>
      <c r="CR1382" s="420"/>
      <c r="CS1382" s="420"/>
      <c r="CT1382" s="420"/>
      <c r="CU1382" s="420"/>
      <c r="CV1382" s="420"/>
      <c r="CW1382" s="420"/>
      <c r="CX1382" s="420"/>
      <c r="CY1382" s="420"/>
      <c r="CZ1382" s="420"/>
      <c r="DA1382" s="420"/>
      <c r="DB1382" s="420"/>
      <c r="DC1382" s="420"/>
      <c r="DD1382" s="420"/>
      <c r="DE1382" s="420"/>
      <c r="DF1382" s="420"/>
      <c r="DG1382" s="420"/>
      <c r="DH1382" s="420"/>
      <c r="DI1382" s="420"/>
      <c r="DJ1382" s="420"/>
      <c r="DK1382" s="420"/>
      <c r="DL1382" s="420"/>
      <c r="DM1382" s="420"/>
      <c r="DN1382" s="420"/>
      <c r="DO1382" s="420"/>
      <c r="DP1382" s="420"/>
      <c r="DQ1382" s="420"/>
      <c r="DR1382" s="420"/>
      <c r="DS1382" s="420"/>
      <c r="DT1382" s="420"/>
      <c r="DU1382" s="420"/>
      <c r="DV1382" s="420"/>
      <c r="DW1382" s="420"/>
      <c r="DX1382" s="420"/>
      <c r="DY1382" s="420"/>
      <c r="DZ1382" s="420"/>
      <c r="EA1382" s="420"/>
      <c r="EB1382" s="420"/>
      <c r="EC1382" s="420"/>
      <c r="ED1382" s="420"/>
      <c r="EE1382" s="420"/>
      <c r="EF1382" s="420"/>
      <c r="EG1382" s="420"/>
      <c r="EH1382" s="420"/>
      <c r="EI1382" s="420"/>
      <c r="EJ1382" s="420"/>
      <c r="EK1382" s="420"/>
      <c r="EL1382" s="420"/>
      <c r="EM1382" s="420"/>
      <c r="EN1382" s="420"/>
      <c r="EO1382" s="420"/>
      <c r="EP1382" s="420"/>
      <c r="EQ1382" s="420"/>
      <c r="ER1382" s="420"/>
      <c r="ES1382" s="420"/>
      <c r="ET1382" s="420"/>
      <c r="EU1382" s="420"/>
      <c r="EV1382" s="420"/>
      <c r="EW1382" s="420"/>
      <c r="EX1382" s="420"/>
      <c r="EY1382" s="420"/>
      <c r="EZ1382" s="420"/>
      <c r="FA1382" s="420"/>
      <c r="FB1382" s="420"/>
      <c r="FC1382" s="420"/>
      <c r="FD1382" s="420"/>
      <c r="FE1382" s="420"/>
      <c r="FF1382" s="420"/>
      <c r="FG1382" s="420"/>
      <c r="FH1382" s="420"/>
      <c r="FI1382" s="420"/>
      <c r="FJ1382" s="420"/>
      <c r="FK1382" s="420"/>
      <c r="FL1382" s="420"/>
      <c r="FM1382" s="420"/>
      <c r="FN1382" s="420"/>
      <c r="FO1382" s="420"/>
      <c r="FP1382" s="420"/>
      <c r="FQ1382" s="420"/>
      <c r="FR1382" s="420"/>
      <c r="FS1382" s="420"/>
      <c r="FT1382" s="420"/>
      <c r="FU1382" s="420"/>
      <c r="FV1382" s="420"/>
      <c r="FW1382" s="420"/>
      <c r="FX1382" s="420"/>
      <c r="FY1382" s="420"/>
    </row>
    <row r="1383" spans="1:181" s="421" customFormat="1" ht="12.75">
      <c r="A1383" s="918" t="s">
        <v>1039</v>
      </c>
      <c r="B1383" s="927" t="s">
        <v>1040</v>
      </c>
      <c r="C1383" s="970" t="s">
        <v>47</v>
      </c>
      <c r="D1383" s="970">
        <v>34</v>
      </c>
      <c r="E1383" s="922"/>
      <c r="F1383" s="987">
        <f t="shared" si="55"/>
        <v>0</v>
      </c>
      <c r="G1383" s="420"/>
      <c r="H1383" s="420"/>
      <c r="I1383" s="420"/>
      <c r="J1383" s="420"/>
      <c r="K1383" s="420"/>
      <c r="L1383" s="420"/>
      <c r="M1383" s="420"/>
      <c r="N1383" s="923">
        <f t="shared" si="56"/>
        <v>0</v>
      </c>
      <c r="O1383" s="923">
        <f t="shared" si="57"/>
        <v>0</v>
      </c>
      <c r="P1383" s="420"/>
      <c r="Q1383" s="420"/>
      <c r="R1383" s="420"/>
      <c r="S1383" s="420"/>
      <c r="T1383" s="420"/>
      <c r="U1383" s="420"/>
      <c r="V1383" s="420"/>
      <c r="W1383" s="420"/>
      <c r="X1383" s="420"/>
      <c r="Y1383" s="420"/>
      <c r="Z1383" s="420"/>
      <c r="AA1383" s="420"/>
      <c r="AB1383" s="420"/>
      <c r="AC1383" s="420"/>
      <c r="AD1383" s="420"/>
      <c r="AE1383" s="420"/>
      <c r="AF1383" s="420"/>
      <c r="AG1383" s="420"/>
      <c r="AH1383" s="420"/>
      <c r="AI1383" s="420"/>
      <c r="AJ1383" s="420"/>
      <c r="AK1383" s="420"/>
      <c r="AL1383" s="420"/>
      <c r="AM1383" s="420"/>
      <c r="AN1383" s="420"/>
      <c r="AO1383" s="420"/>
      <c r="AP1383" s="420"/>
      <c r="AQ1383" s="420"/>
      <c r="AR1383" s="420"/>
      <c r="AS1383" s="420"/>
      <c r="AT1383" s="420"/>
      <c r="AU1383" s="420"/>
      <c r="AV1383" s="420"/>
      <c r="AW1383" s="420"/>
      <c r="AX1383" s="420"/>
      <c r="AY1383" s="420"/>
      <c r="AZ1383" s="420"/>
      <c r="BA1383" s="420"/>
      <c r="BB1383" s="420"/>
      <c r="BC1383" s="420"/>
      <c r="BD1383" s="420"/>
      <c r="BE1383" s="420"/>
      <c r="BF1383" s="420"/>
      <c r="BG1383" s="420"/>
      <c r="BH1383" s="420"/>
      <c r="BI1383" s="420"/>
      <c r="BJ1383" s="420"/>
      <c r="BK1383" s="420"/>
      <c r="BL1383" s="420"/>
      <c r="BM1383" s="420"/>
      <c r="BN1383" s="420"/>
      <c r="BO1383" s="420"/>
      <c r="BP1383" s="420"/>
      <c r="BQ1383" s="420"/>
      <c r="BR1383" s="420"/>
      <c r="BS1383" s="420"/>
      <c r="BT1383" s="420"/>
      <c r="BU1383" s="420"/>
      <c r="BV1383" s="420"/>
      <c r="BW1383" s="420"/>
      <c r="BX1383" s="420"/>
      <c r="BY1383" s="420"/>
      <c r="BZ1383" s="420"/>
      <c r="CA1383" s="420"/>
      <c r="CB1383" s="420"/>
      <c r="CC1383" s="420"/>
      <c r="CD1383" s="420"/>
      <c r="CE1383" s="420"/>
      <c r="CF1383" s="420"/>
      <c r="CG1383" s="420"/>
      <c r="CH1383" s="420"/>
      <c r="CI1383" s="420"/>
      <c r="CJ1383" s="420"/>
      <c r="CK1383" s="420"/>
      <c r="CL1383" s="420"/>
      <c r="CM1383" s="420"/>
      <c r="CN1383" s="420"/>
      <c r="CO1383" s="420"/>
      <c r="CP1383" s="420"/>
      <c r="CQ1383" s="420"/>
      <c r="CR1383" s="420"/>
      <c r="CS1383" s="420"/>
      <c r="CT1383" s="420"/>
      <c r="CU1383" s="420"/>
      <c r="CV1383" s="420"/>
      <c r="CW1383" s="420"/>
      <c r="CX1383" s="420"/>
      <c r="CY1383" s="420"/>
      <c r="CZ1383" s="420"/>
      <c r="DA1383" s="420"/>
      <c r="DB1383" s="420"/>
      <c r="DC1383" s="420"/>
      <c r="DD1383" s="420"/>
      <c r="DE1383" s="420"/>
      <c r="DF1383" s="420"/>
      <c r="DG1383" s="420"/>
      <c r="DH1383" s="420"/>
      <c r="DI1383" s="420"/>
      <c r="DJ1383" s="420"/>
      <c r="DK1383" s="420"/>
      <c r="DL1383" s="420"/>
      <c r="DM1383" s="420"/>
      <c r="DN1383" s="420"/>
      <c r="DO1383" s="420"/>
      <c r="DP1383" s="420"/>
      <c r="DQ1383" s="420"/>
      <c r="DR1383" s="420"/>
      <c r="DS1383" s="420"/>
      <c r="DT1383" s="420"/>
      <c r="DU1383" s="420"/>
      <c r="DV1383" s="420"/>
      <c r="DW1383" s="420"/>
      <c r="DX1383" s="420"/>
      <c r="DY1383" s="420"/>
      <c r="DZ1383" s="420"/>
      <c r="EA1383" s="420"/>
      <c r="EB1383" s="420"/>
      <c r="EC1383" s="420"/>
      <c r="ED1383" s="420"/>
      <c r="EE1383" s="420"/>
      <c r="EF1383" s="420"/>
      <c r="EG1383" s="420"/>
      <c r="EH1383" s="420"/>
      <c r="EI1383" s="420"/>
      <c r="EJ1383" s="420"/>
      <c r="EK1383" s="420"/>
      <c r="EL1383" s="420"/>
      <c r="EM1383" s="420"/>
      <c r="EN1383" s="420"/>
      <c r="EO1383" s="420"/>
      <c r="EP1383" s="420"/>
      <c r="EQ1383" s="420"/>
      <c r="ER1383" s="420"/>
      <c r="ES1383" s="420"/>
      <c r="ET1383" s="420"/>
      <c r="EU1383" s="420"/>
      <c r="EV1383" s="420"/>
      <c r="EW1383" s="420"/>
      <c r="EX1383" s="420"/>
      <c r="EY1383" s="420"/>
      <c r="EZ1383" s="420"/>
      <c r="FA1383" s="420"/>
      <c r="FB1383" s="420"/>
      <c r="FC1383" s="420"/>
      <c r="FD1383" s="420"/>
      <c r="FE1383" s="420"/>
      <c r="FF1383" s="420"/>
      <c r="FG1383" s="420"/>
      <c r="FH1383" s="420"/>
      <c r="FI1383" s="420"/>
      <c r="FJ1383" s="420"/>
      <c r="FK1383" s="420"/>
      <c r="FL1383" s="420"/>
      <c r="FM1383" s="420"/>
      <c r="FN1383" s="420"/>
      <c r="FO1383" s="420"/>
      <c r="FP1383" s="420"/>
      <c r="FQ1383" s="420"/>
      <c r="FR1383" s="420"/>
      <c r="FS1383" s="420"/>
      <c r="FT1383" s="420"/>
      <c r="FU1383" s="420"/>
      <c r="FV1383" s="420"/>
      <c r="FW1383" s="420"/>
      <c r="FX1383" s="420"/>
      <c r="FY1383" s="420"/>
    </row>
    <row r="1384" spans="1:181" s="421" customFormat="1" ht="19.5" customHeight="1">
      <c r="A1384" s="918" t="s">
        <v>1041</v>
      </c>
      <c r="B1384" s="927" t="s">
        <v>901</v>
      </c>
      <c r="C1384" s="970" t="s">
        <v>863</v>
      </c>
      <c r="D1384" s="970">
        <v>1</v>
      </c>
      <c r="E1384" s="922"/>
      <c r="F1384" s="987">
        <f t="shared" si="55"/>
        <v>0</v>
      </c>
      <c r="G1384" s="420"/>
      <c r="H1384" s="420"/>
      <c r="I1384" s="420"/>
      <c r="J1384" s="420"/>
      <c r="K1384" s="420"/>
      <c r="L1384" s="420"/>
      <c r="M1384" s="420"/>
      <c r="N1384" s="923">
        <f t="shared" si="56"/>
        <v>0</v>
      </c>
      <c r="O1384" s="923">
        <f t="shared" si="57"/>
        <v>0</v>
      </c>
      <c r="P1384" s="420"/>
      <c r="Q1384" s="420"/>
      <c r="R1384" s="420"/>
      <c r="S1384" s="420"/>
      <c r="T1384" s="420"/>
      <c r="U1384" s="420"/>
      <c r="V1384" s="420"/>
      <c r="W1384" s="420"/>
      <c r="X1384" s="420"/>
      <c r="Y1384" s="420"/>
      <c r="Z1384" s="420"/>
      <c r="AA1384" s="420"/>
      <c r="AB1384" s="420"/>
      <c r="AC1384" s="420"/>
      <c r="AD1384" s="420"/>
      <c r="AE1384" s="420"/>
      <c r="AF1384" s="420"/>
      <c r="AG1384" s="420"/>
      <c r="AH1384" s="420"/>
      <c r="AI1384" s="420"/>
      <c r="AJ1384" s="420"/>
      <c r="AK1384" s="420"/>
      <c r="AL1384" s="420"/>
      <c r="AM1384" s="420"/>
      <c r="AN1384" s="420"/>
      <c r="AO1384" s="420"/>
      <c r="AP1384" s="420"/>
      <c r="AQ1384" s="420"/>
      <c r="AR1384" s="420"/>
      <c r="AS1384" s="420"/>
      <c r="AT1384" s="420"/>
      <c r="AU1384" s="420"/>
      <c r="AV1384" s="420"/>
      <c r="AW1384" s="420"/>
      <c r="AX1384" s="420"/>
      <c r="AY1384" s="420"/>
      <c r="AZ1384" s="420"/>
      <c r="BA1384" s="420"/>
      <c r="BB1384" s="420"/>
      <c r="BC1384" s="420"/>
      <c r="BD1384" s="420"/>
      <c r="BE1384" s="420"/>
      <c r="BF1384" s="420"/>
      <c r="BG1384" s="420"/>
      <c r="BH1384" s="420"/>
      <c r="BI1384" s="420"/>
      <c r="BJ1384" s="420"/>
      <c r="BK1384" s="420"/>
      <c r="BL1384" s="420"/>
      <c r="BM1384" s="420"/>
      <c r="BN1384" s="420"/>
      <c r="BO1384" s="420"/>
      <c r="BP1384" s="420"/>
      <c r="BQ1384" s="420"/>
      <c r="BR1384" s="420"/>
      <c r="BS1384" s="420"/>
      <c r="BT1384" s="420"/>
      <c r="BU1384" s="420"/>
      <c r="BV1384" s="420"/>
      <c r="BW1384" s="420"/>
      <c r="BX1384" s="420"/>
      <c r="BY1384" s="420"/>
      <c r="BZ1384" s="420"/>
      <c r="CA1384" s="420"/>
      <c r="CB1384" s="420"/>
      <c r="CC1384" s="420"/>
      <c r="CD1384" s="420"/>
      <c r="CE1384" s="420"/>
      <c r="CF1384" s="420"/>
      <c r="CG1384" s="420"/>
      <c r="CH1384" s="420"/>
      <c r="CI1384" s="420"/>
      <c r="CJ1384" s="420"/>
      <c r="CK1384" s="420"/>
      <c r="CL1384" s="420"/>
      <c r="CM1384" s="420"/>
      <c r="CN1384" s="420"/>
      <c r="CO1384" s="420"/>
      <c r="CP1384" s="420"/>
      <c r="CQ1384" s="420"/>
      <c r="CR1384" s="420"/>
      <c r="CS1384" s="420"/>
      <c r="CT1384" s="420"/>
      <c r="CU1384" s="420"/>
      <c r="CV1384" s="420"/>
      <c r="CW1384" s="420"/>
      <c r="CX1384" s="420"/>
      <c r="CY1384" s="420"/>
      <c r="CZ1384" s="420"/>
      <c r="DA1384" s="420"/>
      <c r="DB1384" s="420"/>
      <c r="DC1384" s="420"/>
      <c r="DD1384" s="420"/>
      <c r="DE1384" s="420"/>
      <c r="DF1384" s="420"/>
      <c r="DG1384" s="420"/>
      <c r="DH1384" s="420"/>
      <c r="DI1384" s="420"/>
      <c r="DJ1384" s="420"/>
      <c r="DK1384" s="420"/>
      <c r="DL1384" s="420"/>
      <c r="DM1384" s="420"/>
      <c r="DN1384" s="420"/>
      <c r="DO1384" s="420"/>
      <c r="DP1384" s="420"/>
      <c r="DQ1384" s="420"/>
      <c r="DR1384" s="420"/>
      <c r="DS1384" s="420"/>
      <c r="DT1384" s="420"/>
      <c r="DU1384" s="420"/>
      <c r="DV1384" s="420"/>
      <c r="DW1384" s="420"/>
      <c r="DX1384" s="420"/>
      <c r="DY1384" s="420"/>
      <c r="DZ1384" s="420"/>
      <c r="EA1384" s="420"/>
      <c r="EB1384" s="420"/>
      <c r="EC1384" s="420"/>
      <c r="ED1384" s="420"/>
      <c r="EE1384" s="420"/>
      <c r="EF1384" s="420"/>
      <c r="EG1384" s="420"/>
      <c r="EH1384" s="420"/>
      <c r="EI1384" s="420"/>
      <c r="EJ1384" s="420"/>
      <c r="EK1384" s="420"/>
      <c r="EL1384" s="420"/>
      <c r="EM1384" s="420"/>
      <c r="EN1384" s="420"/>
      <c r="EO1384" s="420"/>
      <c r="EP1384" s="420"/>
      <c r="EQ1384" s="420"/>
      <c r="ER1384" s="420"/>
      <c r="ES1384" s="420"/>
      <c r="ET1384" s="420"/>
      <c r="EU1384" s="420"/>
      <c r="EV1384" s="420"/>
      <c r="EW1384" s="420"/>
      <c r="EX1384" s="420"/>
      <c r="EY1384" s="420"/>
      <c r="EZ1384" s="420"/>
      <c r="FA1384" s="420"/>
      <c r="FB1384" s="420"/>
      <c r="FC1384" s="420"/>
      <c r="FD1384" s="420"/>
      <c r="FE1384" s="420"/>
      <c r="FF1384" s="420"/>
      <c r="FG1384" s="420"/>
      <c r="FH1384" s="420"/>
      <c r="FI1384" s="420"/>
      <c r="FJ1384" s="420"/>
      <c r="FK1384" s="420"/>
      <c r="FL1384" s="420"/>
      <c r="FM1384" s="420"/>
      <c r="FN1384" s="420"/>
      <c r="FO1384" s="420"/>
      <c r="FP1384" s="420"/>
      <c r="FQ1384" s="420"/>
      <c r="FR1384" s="420"/>
      <c r="FS1384" s="420"/>
      <c r="FT1384" s="420"/>
      <c r="FU1384" s="420"/>
      <c r="FV1384" s="420"/>
      <c r="FW1384" s="420"/>
      <c r="FX1384" s="420"/>
      <c r="FY1384" s="420"/>
    </row>
    <row r="1385" spans="1:181" s="421" customFormat="1" ht="19.5" customHeight="1">
      <c r="A1385" s="918"/>
      <c r="B1385" s="985" t="s">
        <v>933</v>
      </c>
      <c r="C1385" s="970"/>
      <c r="D1385" s="970"/>
      <c r="E1385" s="956"/>
      <c r="F1385" s="987"/>
      <c r="G1385" s="420"/>
      <c r="H1385" s="420"/>
      <c r="I1385" s="420"/>
      <c r="J1385" s="420"/>
      <c r="K1385" s="420"/>
      <c r="L1385" s="420"/>
      <c r="M1385" s="420"/>
      <c r="N1385" s="923"/>
      <c r="O1385" s="923"/>
      <c r="P1385" s="420"/>
      <c r="Q1385" s="420"/>
      <c r="R1385" s="420"/>
      <c r="S1385" s="420"/>
      <c r="T1385" s="420"/>
      <c r="U1385" s="420"/>
      <c r="V1385" s="420"/>
      <c r="W1385" s="420"/>
      <c r="X1385" s="420"/>
      <c r="Y1385" s="420"/>
      <c r="Z1385" s="420"/>
      <c r="AA1385" s="420"/>
      <c r="AB1385" s="420"/>
      <c r="AC1385" s="420"/>
      <c r="AD1385" s="420"/>
      <c r="AE1385" s="420"/>
      <c r="AF1385" s="420"/>
      <c r="AG1385" s="420"/>
      <c r="AH1385" s="420"/>
      <c r="AI1385" s="420"/>
      <c r="AJ1385" s="420"/>
      <c r="AK1385" s="420"/>
      <c r="AL1385" s="420"/>
      <c r="AM1385" s="420"/>
      <c r="AN1385" s="420"/>
      <c r="AO1385" s="420"/>
      <c r="AP1385" s="420"/>
      <c r="AQ1385" s="420"/>
      <c r="AR1385" s="420"/>
      <c r="AS1385" s="420"/>
      <c r="AT1385" s="420"/>
      <c r="AU1385" s="420"/>
      <c r="AV1385" s="420"/>
      <c r="AW1385" s="420"/>
      <c r="AX1385" s="420"/>
      <c r="AY1385" s="420"/>
      <c r="AZ1385" s="420"/>
      <c r="BA1385" s="420"/>
      <c r="BB1385" s="420"/>
      <c r="BC1385" s="420"/>
      <c r="BD1385" s="420"/>
      <c r="BE1385" s="420"/>
      <c r="BF1385" s="420"/>
      <c r="BG1385" s="420"/>
      <c r="BH1385" s="420"/>
      <c r="BI1385" s="420"/>
      <c r="BJ1385" s="420"/>
      <c r="BK1385" s="420"/>
      <c r="BL1385" s="420"/>
      <c r="BM1385" s="420"/>
      <c r="BN1385" s="420"/>
      <c r="BO1385" s="420"/>
      <c r="BP1385" s="420"/>
      <c r="BQ1385" s="420"/>
      <c r="BR1385" s="420"/>
      <c r="BS1385" s="420"/>
      <c r="BT1385" s="420"/>
      <c r="BU1385" s="420"/>
      <c r="BV1385" s="420"/>
      <c r="BW1385" s="420"/>
      <c r="BX1385" s="420"/>
      <c r="BY1385" s="420"/>
      <c r="BZ1385" s="420"/>
      <c r="CA1385" s="420"/>
      <c r="CB1385" s="420"/>
      <c r="CC1385" s="420"/>
      <c r="CD1385" s="420"/>
      <c r="CE1385" s="420"/>
      <c r="CF1385" s="420"/>
      <c r="CG1385" s="420"/>
      <c r="CH1385" s="420"/>
      <c r="CI1385" s="420"/>
      <c r="CJ1385" s="420"/>
      <c r="CK1385" s="420"/>
      <c r="CL1385" s="420"/>
      <c r="CM1385" s="420"/>
      <c r="CN1385" s="420"/>
      <c r="CO1385" s="420"/>
      <c r="CP1385" s="420"/>
      <c r="CQ1385" s="420"/>
      <c r="CR1385" s="420"/>
      <c r="CS1385" s="420"/>
      <c r="CT1385" s="420"/>
      <c r="CU1385" s="420"/>
      <c r="CV1385" s="420"/>
      <c r="CW1385" s="420"/>
      <c r="CX1385" s="420"/>
      <c r="CY1385" s="420"/>
      <c r="CZ1385" s="420"/>
      <c r="DA1385" s="420"/>
      <c r="DB1385" s="420"/>
      <c r="DC1385" s="420"/>
      <c r="DD1385" s="420"/>
      <c r="DE1385" s="420"/>
      <c r="DF1385" s="420"/>
      <c r="DG1385" s="420"/>
      <c r="DH1385" s="420"/>
      <c r="DI1385" s="420"/>
      <c r="DJ1385" s="420"/>
      <c r="DK1385" s="420"/>
      <c r="DL1385" s="420"/>
      <c r="DM1385" s="420"/>
      <c r="DN1385" s="420"/>
      <c r="DO1385" s="420"/>
      <c r="DP1385" s="420"/>
      <c r="DQ1385" s="420"/>
      <c r="DR1385" s="420"/>
      <c r="DS1385" s="420"/>
      <c r="DT1385" s="420"/>
      <c r="DU1385" s="420"/>
      <c r="DV1385" s="420"/>
      <c r="DW1385" s="420"/>
      <c r="DX1385" s="420"/>
      <c r="DY1385" s="420"/>
      <c r="DZ1385" s="420"/>
      <c r="EA1385" s="420"/>
      <c r="EB1385" s="420"/>
      <c r="EC1385" s="420"/>
      <c r="ED1385" s="420"/>
      <c r="EE1385" s="420"/>
      <c r="EF1385" s="420"/>
      <c r="EG1385" s="420"/>
      <c r="EH1385" s="420"/>
      <c r="EI1385" s="420"/>
      <c r="EJ1385" s="420"/>
      <c r="EK1385" s="420"/>
      <c r="EL1385" s="420"/>
      <c r="EM1385" s="420"/>
      <c r="EN1385" s="420"/>
      <c r="EO1385" s="420"/>
      <c r="EP1385" s="420"/>
      <c r="EQ1385" s="420"/>
      <c r="ER1385" s="420"/>
      <c r="ES1385" s="420"/>
      <c r="ET1385" s="420"/>
      <c r="EU1385" s="420"/>
      <c r="EV1385" s="420"/>
      <c r="EW1385" s="420"/>
      <c r="EX1385" s="420"/>
      <c r="EY1385" s="420"/>
      <c r="EZ1385" s="420"/>
      <c r="FA1385" s="420"/>
      <c r="FB1385" s="420"/>
      <c r="FC1385" s="420"/>
      <c r="FD1385" s="420"/>
      <c r="FE1385" s="420"/>
      <c r="FF1385" s="420"/>
      <c r="FG1385" s="420"/>
      <c r="FH1385" s="420"/>
      <c r="FI1385" s="420"/>
      <c r="FJ1385" s="420"/>
      <c r="FK1385" s="420"/>
      <c r="FL1385" s="420"/>
      <c r="FM1385" s="420"/>
      <c r="FN1385" s="420"/>
      <c r="FO1385" s="420"/>
      <c r="FP1385" s="420"/>
      <c r="FQ1385" s="420"/>
      <c r="FR1385" s="420"/>
      <c r="FS1385" s="420"/>
      <c r="FT1385" s="420"/>
      <c r="FU1385" s="420"/>
      <c r="FV1385" s="420"/>
      <c r="FW1385" s="420"/>
      <c r="FX1385" s="420"/>
      <c r="FY1385" s="420"/>
    </row>
    <row r="1386" spans="1:181" s="421" customFormat="1" ht="165.75">
      <c r="A1386" s="918" t="s">
        <v>1042</v>
      </c>
      <c r="B1386" s="927" t="s">
        <v>1043</v>
      </c>
      <c r="C1386" s="970" t="s">
        <v>863</v>
      </c>
      <c r="D1386" s="970">
        <v>1</v>
      </c>
      <c r="E1386" s="922"/>
      <c r="F1386" s="987">
        <f>D1386*E1386</f>
        <v>0</v>
      </c>
      <c r="G1386" s="420"/>
      <c r="H1386" s="420"/>
      <c r="I1386" s="420"/>
      <c r="J1386" s="420"/>
      <c r="K1386" s="420"/>
      <c r="L1386" s="420"/>
      <c r="M1386" s="420"/>
      <c r="N1386" s="923">
        <f>E1386*1.2</f>
        <v>0</v>
      </c>
      <c r="O1386" s="923">
        <f>N1386*D1386</f>
        <v>0</v>
      </c>
      <c r="P1386" s="420"/>
      <c r="Q1386" s="420"/>
      <c r="R1386" s="420"/>
      <c r="S1386" s="420"/>
      <c r="T1386" s="420"/>
      <c r="U1386" s="420"/>
      <c r="V1386" s="420"/>
      <c r="W1386" s="420"/>
      <c r="X1386" s="420"/>
      <c r="Y1386" s="420"/>
      <c r="Z1386" s="420"/>
      <c r="AA1386" s="420"/>
      <c r="AB1386" s="420"/>
      <c r="AC1386" s="420"/>
      <c r="AD1386" s="420"/>
      <c r="AE1386" s="420"/>
      <c r="AF1386" s="420"/>
      <c r="AG1386" s="420"/>
      <c r="AH1386" s="420"/>
      <c r="AI1386" s="420"/>
      <c r="AJ1386" s="420"/>
      <c r="AK1386" s="420"/>
      <c r="AL1386" s="420"/>
      <c r="AM1386" s="420"/>
      <c r="AN1386" s="420"/>
      <c r="AO1386" s="420"/>
      <c r="AP1386" s="420"/>
      <c r="AQ1386" s="420"/>
      <c r="AR1386" s="420"/>
      <c r="AS1386" s="420"/>
      <c r="AT1386" s="420"/>
      <c r="AU1386" s="420"/>
      <c r="AV1386" s="420"/>
      <c r="AW1386" s="420"/>
      <c r="AX1386" s="420"/>
      <c r="AY1386" s="420"/>
      <c r="AZ1386" s="420"/>
      <c r="BA1386" s="420"/>
      <c r="BB1386" s="420"/>
      <c r="BC1386" s="420"/>
      <c r="BD1386" s="420"/>
      <c r="BE1386" s="420"/>
      <c r="BF1386" s="420"/>
      <c r="BG1386" s="420"/>
      <c r="BH1386" s="420"/>
      <c r="BI1386" s="420"/>
      <c r="BJ1386" s="420"/>
      <c r="BK1386" s="420"/>
      <c r="BL1386" s="420"/>
      <c r="BM1386" s="420"/>
      <c r="BN1386" s="420"/>
      <c r="BO1386" s="420"/>
      <c r="BP1386" s="420"/>
      <c r="BQ1386" s="420"/>
      <c r="BR1386" s="420"/>
      <c r="BS1386" s="420"/>
      <c r="BT1386" s="420"/>
      <c r="BU1386" s="420"/>
      <c r="BV1386" s="420"/>
      <c r="BW1386" s="420"/>
      <c r="BX1386" s="420"/>
      <c r="BY1386" s="420"/>
      <c r="BZ1386" s="420"/>
      <c r="CA1386" s="420"/>
      <c r="CB1386" s="420"/>
      <c r="CC1386" s="420"/>
      <c r="CD1386" s="420"/>
      <c r="CE1386" s="420"/>
      <c r="CF1386" s="420"/>
      <c r="CG1386" s="420"/>
      <c r="CH1386" s="420"/>
      <c r="CI1386" s="420"/>
      <c r="CJ1386" s="420"/>
      <c r="CK1386" s="420"/>
      <c r="CL1386" s="420"/>
      <c r="CM1386" s="420"/>
      <c r="CN1386" s="420"/>
      <c r="CO1386" s="420"/>
      <c r="CP1386" s="420"/>
      <c r="CQ1386" s="420"/>
      <c r="CR1386" s="420"/>
      <c r="CS1386" s="420"/>
      <c r="CT1386" s="420"/>
      <c r="CU1386" s="420"/>
      <c r="CV1386" s="420"/>
      <c r="CW1386" s="420"/>
      <c r="CX1386" s="420"/>
      <c r="CY1386" s="420"/>
      <c r="CZ1386" s="420"/>
      <c r="DA1386" s="420"/>
      <c r="DB1386" s="420"/>
      <c r="DC1386" s="420"/>
      <c r="DD1386" s="420"/>
      <c r="DE1386" s="420"/>
      <c r="DF1386" s="420"/>
      <c r="DG1386" s="420"/>
      <c r="DH1386" s="420"/>
      <c r="DI1386" s="420"/>
      <c r="DJ1386" s="420"/>
      <c r="DK1386" s="420"/>
      <c r="DL1386" s="420"/>
      <c r="DM1386" s="420"/>
      <c r="DN1386" s="420"/>
      <c r="DO1386" s="420"/>
      <c r="DP1386" s="420"/>
      <c r="DQ1386" s="420"/>
      <c r="DR1386" s="420"/>
      <c r="DS1386" s="420"/>
      <c r="DT1386" s="420"/>
      <c r="DU1386" s="420"/>
      <c r="DV1386" s="420"/>
      <c r="DW1386" s="420"/>
      <c r="DX1386" s="420"/>
      <c r="DY1386" s="420"/>
      <c r="DZ1386" s="420"/>
      <c r="EA1386" s="420"/>
      <c r="EB1386" s="420"/>
      <c r="EC1386" s="420"/>
      <c r="ED1386" s="420"/>
      <c r="EE1386" s="420"/>
      <c r="EF1386" s="420"/>
      <c r="EG1386" s="420"/>
      <c r="EH1386" s="420"/>
      <c r="EI1386" s="420"/>
      <c r="EJ1386" s="420"/>
      <c r="EK1386" s="420"/>
      <c r="EL1386" s="420"/>
      <c r="EM1386" s="420"/>
      <c r="EN1386" s="420"/>
      <c r="EO1386" s="420"/>
      <c r="EP1386" s="420"/>
      <c r="EQ1386" s="420"/>
      <c r="ER1386" s="420"/>
      <c r="ES1386" s="420"/>
      <c r="ET1386" s="420"/>
      <c r="EU1386" s="420"/>
      <c r="EV1386" s="420"/>
      <c r="EW1386" s="420"/>
      <c r="EX1386" s="420"/>
      <c r="EY1386" s="420"/>
      <c r="EZ1386" s="420"/>
      <c r="FA1386" s="420"/>
      <c r="FB1386" s="420"/>
      <c r="FC1386" s="420"/>
      <c r="FD1386" s="420"/>
      <c r="FE1386" s="420"/>
      <c r="FF1386" s="420"/>
      <c r="FG1386" s="420"/>
      <c r="FH1386" s="420"/>
      <c r="FI1386" s="420"/>
      <c r="FJ1386" s="420"/>
      <c r="FK1386" s="420"/>
      <c r="FL1386" s="420"/>
      <c r="FM1386" s="420"/>
      <c r="FN1386" s="420"/>
      <c r="FO1386" s="420"/>
      <c r="FP1386" s="420"/>
      <c r="FQ1386" s="420"/>
      <c r="FR1386" s="420"/>
      <c r="FS1386" s="420"/>
      <c r="FT1386" s="420"/>
      <c r="FU1386" s="420"/>
      <c r="FV1386" s="420"/>
      <c r="FW1386" s="420"/>
      <c r="FX1386" s="420"/>
      <c r="FY1386" s="420"/>
    </row>
    <row r="1387" spans="1:181" s="421" customFormat="1" ht="15.75" customHeight="1">
      <c r="A1387" s="918"/>
      <c r="B1387" s="927"/>
      <c r="C1387" s="920"/>
      <c r="D1387" s="921"/>
      <c r="E1387" s="922"/>
      <c r="F1387" s="923"/>
      <c r="G1387" s="420"/>
      <c r="H1387" s="420"/>
      <c r="I1387" s="420"/>
      <c r="J1387" s="420"/>
      <c r="K1387" s="420"/>
      <c r="L1387" s="420"/>
      <c r="M1387" s="420"/>
      <c r="N1387" s="646"/>
      <c r="O1387" s="646"/>
      <c r="P1387" s="420"/>
      <c r="Q1387" s="420"/>
      <c r="R1387" s="420"/>
      <c r="S1387" s="420"/>
      <c r="T1387" s="420"/>
      <c r="U1387" s="420"/>
      <c r="V1387" s="420"/>
      <c r="W1387" s="420"/>
      <c r="X1387" s="420"/>
      <c r="Y1387" s="420"/>
      <c r="Z1387" s="420"/>
      <c r="AA1387" s="420"/>
      <c r="AB1387" s="420"/>
      <c r="AC1387" s="420"/>
      <c r="AD1387" s="420"/>
      <c r="AE1387" s="420"/>
      <c r="AF1387" s="420"/>
      <c r="AG1387" s="420"/>
      <c r="AH1387" s="420"/>
      <c r="AI1387" s="420"/>
      <c r="AJ1387" s="420"/>
      <c r="AK1387" s="420"/>
      <c r="AL1387" s="420"/>
      <c r="AM1387" s="420"/>
      <c r="AN1387" s="420"/>
      <c r="AO1387" s="420"/>
      <c r="AP1387" s="420"/>
      <c r="AQ1387" s="420"/>
      <c r="AR1387" s="420"/>
      <c r="AS1387" s="420"/>
      <c r="AT1387" s="420"/>
      <c r="AU1387" s="420"/>
      <c r="AV1387" s="420"/>
      <c r="AW1387" s="420"/>
      <c r="AX1387" s="420"/>
      <c r="AY1387" s="420"/>
      <c r="AZ1387" s="420"/>
      <c r="BA1387" s="420"/>
      <c r="BB1387" s="420"/>
      <c r="BC1387" s="420"/>
      <c r="BD1387" s="420"/>
      <c r="BE1387" s="420"/>
      <c r="BF1387" s="420"/>
      <c r="BG1387" s="420"/>
      <c r="BH1387" s="420"/>
      <c r="BI1387" s="420"/>
      <c r="BJ1387" s="420"/>
      <c r="BK1387" s="420"/>
      <c r="BL1387" s="420"/>
      <c r="BM1387" s="420"/>
      <c r="BN1387" s="420"/>
      <c r="BO1387" s="420"/>
      <c r="BP1387" s="420"/>
      <c r="BQ1387" s="420"/>
      <c r="BR1387" s="420"/>
      <c r="BS1387" s="420"/>
      <c r="BT1387" s="420"/>
      <c r="BU1387" s="420"/>
      <c r="BV1387" s="420"/>
      <c r="BW1387" s="420"/>
      <c r="BX1387" s="420"/>
      <c r="BY1387" s="420"/>
      <c r="BZ1387" s="420"/>
      <c r="CA1387" s="420"/>
      <c r="CB1387" s="420"/>
      <c r="CC1387" s="420"/>
      <c r="CD1387" s="420"/>
      <c r="CE1387" s="420"/>
      <c r="CF1387" s="420"/>
      <c r="CG1387" s="420"/>
      <c r="CH1387" s="420"/>
      <c r="CI1387" s="420"/>
      <c r="CJ1387" s="420"/>
      <c r="CK1387" s="420"/>
      <c r="CL1387" s="420"/>
      <c r="CM1387" s="420"/>
      <c r="CN1387" s="420"/>
      <c r="CO1387" s="420"/>
      <c r="CP1387" s="420"/>
      <c r="CQ1387" s="420"/>
      <c r="CR1387" s="420"/>
      <c r="CS1387" s="420"/>
      <c r="CT1387" s="420"/>
      <c r="CU1387" s="420"/>
      <c r="CV1387" s="420"/>
      <c r="CW1387" s="420"/>
      <c r="CX1387" s="420"/>
      <c r="CY1387" s="420"/>
      <c r="CZ1387" s="420"/>
      <c r="DA1387" s="420"/>
      <c r="DB1387" s="420"/>
      <c r="DC1387" s="420"/>
      <c r="DD1387" s="420"/>
      <c r="DE1387" s="420"/>
      <c r="DF1387" s="420"/>
      <c r="DG1387" s="420"/>
      <c r="DH1387" s="420"/>
      <c r="DI1387" s="420"/>
      <c r="DJ1387" s="420"/>
      <c r="DK1387" s="420"/>
      <c r="DL1387" s="420"/>
      <c r="DM1387" s="420"/>
      <c r="DN1387" s="420"/>
      <c r="DO1387" s="420"/>
      <c r="DP1387" s="420"/>
      <c r="DQ1387" s="420"/>
      <c r="DR1387" s="420"/>
      <c r="DS1387" s="420"/>
      <c r="DT1387" s="420"/>
      <c r="DU1387" s="420"/>
      <c r="DV1387" s="420"/>
      <c r="DW1387" s="420"/>
      <c r="DX1387" s="420"/>
      <c r="DY1387" s="420"/>
      <c r="DZ1387" s="420"/>
      <c r="EA1387" s="420"/>
      <c r="EB1387" s="420"/>
      <c r="EC1387" s="420"/>
      <c r="ED1387" s="420"/>
      <c r="EE1387" s="420"/>
      <c r="EF1387" s="420"/>
      <c r="EG1387" s="420"/>
      <c r="EH1387" s="420"/>
      <c r="EI1387" s="420"/>
      <c r="EJ1387" s="420"/>
      <c r="EK1387" s="420"/>
      <c r="EL1387" s="420"/>
      <c r="EM1387" s="420"/>
      <c r="EN1387" s="420"/>
      <c r="EO1387" s="420"/>
      <c r="EP1387" s="420"/>
      <c r="EQ1387" s="420"/>
      <c r="ER1387" s="420"/>
      <c r="ES1387" s="420"/>
      <c r="ET1387" s="420"/>
      <c r="EU1387" s="420"/>
      <c r="EV1387" s="420"/>
      <c r="EW1387" s="420"/>
      <c r="EX1387" s="420"/>
      <c r="EY1387" s="420"/>
      <c r="EZ1387" s="420"/>
      <c r="FA1387" s="420"/>
      <c r="FB1387" s="420"/>
      <c r="FC1387" s="420"/>
      <c r="FD1387" s="420"/>
      <c r="FE1387" s="420"/>
      <c r="FF1387" s="420"/>
      <c r="FG1387" s="420"/>
      <c r="FH1387" s="420"/>
      <c r="FI1387" s="420"/>
      <c r="FJ1387" s="420"/>
      <c r="FK1387" s="420"/>
      <c r="FL1387" s="420"/>
      <c r="FM1387" s="420"/>
      <c r="FN1387" s="420"/>
      <c r="FO1387" s="420"/>
      <c r="FP1387" s="420"/>
      <c r="FQ1387" s="420"/>
      <c r="FR1387" s="420"/>
      <c r="FS1387" s="420"/>
      <c r="FT1387" s="420"/>
      <c r="FU1387" s="420"/>
      <c r="FV1387" s="420"/>
      <c r="FW1387" s="420"/>
      <c r="FX1387" s="420"/>
      <c r="FY1387" s="420"/>
    </row>
    <row r="1388" spans="1:181" s="421" customFormat="1" ht="15.75" customHeight="1">
      <c r="A1388" s="959" t="s">
        <v>1014</v>
      </c>
      <c r="B1388" s="960" t="s">
        <v>53</v>
      </c>
      <c r="C1388" s="961"/>
      <c r="D1388" s="962"/>
      <c r="E1388" s="962"/>
      <c r="F1388" s="962">
        <f>SUM(F1371:F1386)</f>
        <v>0</v>
      </c>
      <c r="G1388" s="963"/>
      <c r="H1388" s="963"/>
      <c r="I1388" s="963"/>
      <c r="J1388" s="963"/>
      <c r="K1388" s="963"/>
      <c r="L1388" s="963"/>
      <c r="M1388" s="963"/>
      <c r="N1388" s="906"/>
      <c r="O1388" s="962">
        <f>SUM(O1371:O1386)</f>
        <v>0</v>
      </c>
      <c r="P1388" s="420"/>
      <c r="Q1388" s="420"/>
      <c r="R1388" s="420"/>
      <c r="S1388" s="420"/>
      <c r="T1388" s="420"/>
      <c r="U1388" s="420"/>
      <c r="V1388" s="420"/>
      <c r="W1388" s="420"/>
      <c r="X1388" s="420"/>
      <c r="Y1388" s="420"/>
      <c r="Z1388" s="420"/>
      <c r="AA1388" s="420"/>
      <c r="AB1388" s="420"/>
      <c r="AC1388" s="420"/>
      <c r="AD1388" s="420"/>
      <c r="AE1388" s="420"/>
      <c r="AF1388" s="420"/>
      <c r="AG1388" s="420"/>
      <c r="AH1388" s="420"/>
      <c r="AI1388" s="420"/>
      <c r="AJ1388" s="420"/>
      <c r="AK1388" s="420"/>
      <c r="AL1388" s="420"/>
      <c r="AM1388" s="420"/>
      <c r="AN1388" s="420"/>
      <c r="AO1388" s="420"/>
      <c r="AP1388" s="420"/>
      <c r="AQ1388" s="420"/>
      <c r="AR1388" s="420"/>
      <c r="AS1388" s="420"/>
      <c r="AT1388" s="420"/>
      <c r="AU1388" s="420"/>
      <c r="AV1388" s="420"/>
      <c r="AW1388" s="420"/>
      <c r="AX1388" s="420"/>
      <c r="AY1388" s="420"/>
      <c r="AZ1388" s="420"/>
      <c r="BA1388" s="420"/>
      <c r="BB1388" s="420"/>
      <c r="BC1388" s="420"/>
      <c r="BD1388" s="420"/>
      <c r="BE1388" s="420"/>
      <c r="BF1388" s="420"/>
      <c r="BG1388" s="420"/>
      <c r="BH1388" s="420"/>
      <c r="BI1388" s="420"/>
      <c r="BJ1388" s="420"/>
      <c r="BK1388" s="420"/>
      <c r="BL1388" s="420"/>
      <c r="BM1388" s="420"/>
      <c r="BN1388" s="420"/>
      <c r="BO1388" s="420"/>
      <c r="BP1388" s="420"/>
      <c r="BQ1388" s="420"/>
      <c r="BR1388" s="420"/>
      <c r="BS1388" s="420"/>
      <c r="BT1388" s="420"/>
      <c r="BU1388" s="420"/>
      <c r="BV1388" s="420"/>
      <c r="BW1388" s="420"/>
      <c r="BX1388" s="420"/>
      <c r="BY1388" s="420"/>
      <c r="BZ1388" s="420"/>
      <c r="CA1388" s="420"/>
      <c r="CB1388" s="420"/>
      <c r="CC1388" s="420"/>
      <c r="CD1388" s="420"/>
      <c r="CE1388" s="420"/>
      <c r="CF1388" s="420"/>
      <c r="CG1388" s="420"/>
      <c r="CH1388" s="420"/>
      <c r="CI1388" s="420"/>
      <c r="CJ1388" s="420"/>
      <c r="CK1388" s="420"/>
      <c r="CL1388" s="420"/>
      <c r="CM1388" s="420"/>
      <c r="CN1388" s="420"/>
      <c r="CO1388" s="420"/>
      <c r="CP1388" s="420"/>
      <c r="CQ1388" s="420"/>
      <c r="CR1388" s="420"/>
      <c r="CS1388" s="420"/>
      <c r="CT1388" s="420"/>
      <c r="CU1388" s="420"/>
      <c r="CV1388" s="420"/>
      <c r="CW1388" s="420"/>
      <c r="CX1388" s="420"/>
      <c r="CY1388" s="420"/>
      <c r="CZ1388" s="420"/>
      <c r="DA1388" s="420"/>
      <c r="DB1388" s="420"/>
      <c r="DC1388" s="420"/>
      <c r="DD1388" s="420"/>
      <c r="DE1388" s="420"/>
      <c r="DF1388" s="420"/>
      <c r="DG1388" s="420"/>
      <c r="DH1388" s="420"/>
      <c r="DI1388" s="420"/>
      <c r="DJ1388" s="420"/>
      <c r="DK1388" s="420"/>
      <c r="DL1388" s="420"/>
      <c r="DM1388" s="420"/>
      <c r="DN1388" s="420"/>
      <c r="DO1388" s="420"/>
      <c r="DP1388" s="420"/>
      <c r="DQ1388" s="420"/>
      <c r="DR1388" s="420"/>
      <c r="DS1388" s="420"/>
      <c r="DT1388" s="420"/>
      <c r="DU1388" s="420"/>
      <c r="DV1388" s="420"/>
      <c r="DW1388" s="420"/>
      <c r="DX1388" s="420"/>
      <c r="DY1388" s="420"/>
      <c r="DZ1388" s="420"/>
      <c r="EA1388" s="420"/>
      <c r="EB1388" s="420"/>
      <c r="EC1388" s="420"/>
      <c r="ED1388" s="420"/>
      <c r="EE1388" s="420"/>
      <c r="EF1388" s="420"/>
      <c r="EG1388" s="420"/>
      <c r="EH1388" s="420"/>
      <c r="EI1388" s="420"/>
      <c r="EJ1388" s="420"/>
      <c r="EK1388" s="420"/>
      <c r="EL1388" s="420"/>
      <c r="EM1388" s="420"/>
      <c r="EN1388" s="420"/>
      <c r="EO1388" s="420"/>
      <c r="EP1388" s="420"/>
      <c r="EQ1388" s="420"/>
      <c r="ER1388" s="420"/>
      <c r="ES1388" s="420"/>
      <c r="ET1388" s="420"/>
      <c r="EU1388" s="420"/>
      <c r="EV1388" s="420"/>
      <c r="EW1388" s="420"/>
      <c r="EX1388" s="420"/>
      <c r="EY1388" s="420"/>
      <c r="EZ1388" s="420"/>
      <c r="FA1388" s="420"/>
      <c r="FB1388" s="420"/>
      <c r="FC1388" s="420"/>
      <c r="FD1388" s="420"/>
      <c r="FE1388" s="420"/>
      <c r="FF1388" s="420"/>
      <c r="FG1388" s="420"/>
      <c r="FH1388" s="420"/>
      <c r="FI1388" s="420"/>
      <c r="FJ1388" s="420"/>
      <c r="FK1388" s="420"/>
      <c r="FL1388" s="420"/>
      <c r="FM1388" s="420"/>
      <c r="FN1388" s="420"/>
      <c r="FO1388" s="420"/>
      <c r="FP1388" s="420"/>
      <c r="FQ1388" s="420"/>
      <c r="FR1388" s="420"/>
      <c r="FS1388" s="420"/>
      <c r="FT1388" s="420"/>
      <c r="FU1388" s="420"/>
      <c r="FV1388" s="420"/>
      <c r="FW1388" s="420"/>
      <c r="FX1388" s="420"/>
      <c r="FY1388" s="420"/>
    </row>
    <row r="1389" spans="1:181" s="421" customFormat="1" ht="15.75" customHeight="1">
      <c r="A1389" s="427"/>
      <c r="B1389" s="428"/>
      <c r="C1389" s="429"/>
      <c r="D1389" s="430"/>
      <c r="E1389" s="430"/>
      <c r="F1389" s="430"/>
      <c r="G1389" s="420"/>
      <c r="H1389" s="420"/>
      <c r="I1389" s="420"/>
      <c r="J1389" s="420"/>
      <c r="K1389" s="420"/>
      <c r="L1389" s="420"/>
      <c r="M1389" s="420"/>
      <c r="N1389" s="646"/>
      <c r="O1389" s="646"/>
      <c r="P1389" s="420"/>
      <c r="Q1389" s="420"/>
      <c r="R1389" s="420"/>
      <c r="S1389" s="420"/>
      <c r="T1389" s="420"/>
      <c r="U1389" s="420"/>
      <c r="V1389" s="420"/>
      <c r="W1389" s="420"/>
      <c r="X1389" s="420"/>
      <c r="Y1389" s="420"/>
      <c r="Z1389" s="420"/>
      <c r="AA1389" s="420"/>
      <c r="AB1389" s="420"/>
      <c r="AC1389" s="420"/>
      <c r="AD1389" s="420"/>
      <c r="AE1389" s="420"/>
      <c r="AF1389" s="420"/>
      <c r="AG1389" s="420"/>
      <c r="AH1389" s="420"/>
      <c r="AI1389" s="420"/>
      <c r="AJ1389" s="420"/>
      <c r="AK1389" s="420"/>
      <c r="AL1389" s="420"/>
      <c r="AM1389" s="420"/>
      <c r="AN1389" s="420"/>
      <c r="AO1389" s="420"/>
      <c r="AP1389" s="420"/>
      <c r="AQ1389" s="420"/>
      <c r="AR1389" s="420"/>
      <c r="AS1389" s="420"/>
      <c r="AT1389" s="420"/>
      <c r="AU1389" s="420"/>
      <c r="AV1389" s="420"/>
      <c r="AW1389" s="420"/>
      <c r="AX1389" s="420"/>
      <c r="AY1389" s="420"/>
      <c r="AZ1389" s="420"/>
      <c r="BA1389" s="420"/>
      <c r="BB1389" s="420"/>
      <c r="BC1389" s="420"/>
      <c r="BD1389" s="420"/>
      <c r="BE1389" s="420"/>
      <c r="BF1389" s="420"/>
      <c r="BG1389" s="420"/>
      <c r="BH1389" s="420"/>
      <c r="BI1389" s="420"/>
      <c r="BJ1389" s="420"/>
      <c r="BK1389" s="420"/>
      <c r="BL1389" s="420"/>
      <c r="BM1389" s="420"/>
      <c r="BN1389" s="420"/>
      <c r="BO1389" s="420"/>
      <c r="BP1389" s="420"/>
      <c r="BQ1389" s="420"/>
      <c r="BR1389" s="420"/>
      <c r="BS1389" s="420"/>
      <c r="BT1389" s="420"/>
      <c r="BU1389" s="420"/>
      <c r="BV1389" s="420"/>
      <c r="BW1389" s="420"/>
      <c r="BX1389" s="420"/>
      <c r="BY1389" s="420"/>
      <c r="BZ1389" s="420"/>
      <c r="CA1389" s="420"/>
      <c r="CB1389" s="420"/>
      <c r="CC1389" s="420"/>
      <c r="CD1389" s="420"/>
      <c r="CE1389" s="420"/>
      <c r="CF1389" s="420"/>
      <c r="CG1389" s="420"/>
      <c r="CH1389" s="420"/>
      <c r="CI1389" s="420"/>
      <c r="CJ1389" s="420"/>
      <c r="CK1389" s="420"/>
      <c r="CL1389" s="420"/>
      <c r="CM1389" s="420"/>
      <c r="CN1389" s="420"/>
      <c r="CO1389" s="420"/>
      <c r="CP1389" s="420"/>
      <c r="CQ1389" s="420"/>
      <c r="CR1389" s="420"/>
      <c r="CS1389" s="420"/>
      <c r="CT1389" s="420"/>
      <c r="CU1389" s="420"/>
      <c r="CV1389" s="420"/>
      <c r="CW1389" s="420"/>
      <c r="CX1389" s="420"/>
      <c r="CY1389" s="420"/>
      <c r="CZ1389" s="420"/>
      <c r="DA1389" s="420"/>
      <c r="DB1389" s="420"/>
      <c r="DC1389" s="420"/>
      <c r="DD1389" s="420"/>
      <c r="DE1389" s="420"/>
      <c r="DF1389" s="420"/>
      <c r="DG1389" s="420"/>
      <c r="DH1389" s="420"/>
      <c r="DI1389" s="420"/>
      <c r="DJ1389" s="420"/>
      <c r="DK1389" s="420"/>
      <c r="DL1389" s="420"/>
      <c r="DM1389" s="420"/>
      <c r="DN1389" s="420"/>
      <c r="DO1389" s="420"/>
      <c r="DP1389" s="420"/>
      <c r="DQ1389" s="420"/>
      <c r="DR1389" s="420"/>
      <c r="DS1389" s="420"/>
      <c r="DT1389" s="420"/>
      <c r="DU1389" s="420"/>
      <c r="DV1389" s="420"/>
      <c r="DW1389" s="420"/>
      <c r="DX1389" s="420"/>
      <c r="DY1389" s="420"/>
      <c r="DZ1389" s="420"/>
      <c r="EA1389" s="420"/>
      <c r="EB1389" s="420"/>
      <c r="EC1389" s="420"/>
      <c r="ED1389" s="420"/>
      <c r="EE1389" s="420"/>
      <c r="EF1389" s="420"/>
      <c r="EG1389" s="420"/>
      <c r="EH1389" s="420"/>
      <c r="EI1389" s="420"/>
      <c r="EJ1389" s="420"/>
      <c r="EK1389" s="420"/>
      <c r="EL1389" s="420"/>
      <c r="EM1389" s="420"/>
      <c r="EN1389" s="420"/>
      <c r="EO1389" s="420"/>
      <c r="EP1389" s="420"/>
      <c r="EQ1389" s="420"/>
      <c r="ER1389" s="420"/>
      <c r="ES1389" s="420"/>
      <c r="ET1389" s="420"/>
      <c r="EU1389" s="420"/>
      <c r="EV1389" s="420"/>
      <c r="EW1389" s="420"/>
      <c r="EX1389" s="420"/>
      <c r="EY1389" s="420"/>
      <c r="EZ1389" s="420"/>
      <c r="FA1389" s="420"/>
      <c r="FB1389" s="420"/>
      <c r="FC1389" s="420"/>
      <c r="FD1389" s="420"/>
      <c r="FE1389" s="420"/>
      <c r="FF1389" s="420"/>
      <c r="FG1389" s="420"/>
      <c r="FH1389" s="420"/>
      <c r="FI1389" s="420"/>
      <c r="FJ1389" s="420"/>
      <c r="FK1389" s="420"/>
      <c r="FL1389" s="420"/>
      <c r="FM1389" s="420"/>
      <c r="FN1389" s="420"/>
      <c r="FO1389" s="420"/>
      <c r="FP1389" s="420"/>
      <c r="FQ1389" s="420"/>
      <c r="FR1389" s="420"/>
      <c r="FS1389" s="420"/>
      <c r="FT1389" s="420"/>
      <c r="FU1389" s="420"/>
      <c r="FV1389" s="420"/>
      <c r="FW1389" s="420"/>
      <c r="FX1389" s="420"/>
      <c r="FY1389" s="420"/>
    </row>
    <row r="1390" spans="1:181" s="421" customFormat="1" ht="15.75" customHeight="1">
      <c r="A1390" s="427"/>
      <c r="B1390" s="428"/>
      <c r="C1390" s="429"/>
      <c r="D1390" s="430"/>
      <c r="E1390" s="430"/>
      <c r="F1390" s="430"/>
      <c r="G1390" s="420"/>
      <c r="H1390" s="420"/>
      <c r="I1390" s="420"/>
      <c r="J1390" s="420"/>
      <c r="K1390" s="420"/>
      <c r="L1390" s="420"/>
      <c r="M1390" s="420"/>
      <c r="N1390" s="646"/>
      <c r="O1390" s="646"/>
      <c r="P1390" s="420"/>
      <c r="Q1390" s="420"/>
      <c r="R1390" s="420"/>
      <c r="S1390" s="420"/>
      <c r="T1390" s="420"/>
      <c r="U1390" s="420"/>
      <c r="V1390" s="420"/>
      <c r="W1390" s="420"/>
      <c r="X1390" s="420"/>
      <c r="Y1390" s="420"/>
      <c r="Z1390" s="420"/>
      <c r="AA1390" s="420"/>
      <c r="AB1390" s="420"/>
      <c r="AC1390" s="420"/>
      <c r="AD1390" s="420"/>
      <c r="AE1390" s="420"/>
      <c r="AF1390" s="420"/>
      <c r="AG1390" s="420"/>
      <c r="AH1390" s="420"/>
      <c r="AI1390" s="420"/>
      <c r="AJ1390" s="420"/>
      <c r="AK1390" s="420"/>
      <c r="AL1390" s="420"/>
      <c r="AM1390" s="420"/>
      <c r="AN1390" s="420"/>
      <c r="AO1390" s="420"/>
      <c r="AP1390" s="420"/>
      <c r="AQ1390" s="420"/>
      <c r="AR1390" s="420"/>
      <c r="AS1390" s="420"/>
      <c r="AT1390" s="420"/>
      <c r="AU1390" s="420"/>
      <c r="AV1390" s="420"/>
      <c r="AW1390" s="420"/>
      <c r="AX1390" s="420"/>
      <c r="AY1390" s="420"/>
      <c r="AZ1390" s="420"/>
      <c r="BA1390" s="420"/>
      <c r="BB1390" s="420"/>
      <c r="BC1390" s="420"/>
      <c r="BD1390" s="420"/>
      <c r="BE1390" s="420"/>
      <c r="BF1390" s="420"/>
      <c r="BG1390" s="420"/>
      <c r="BH1390" s="420"/>
      <c r="BI1390" s="420"/>
      <c r="BJ1390" s="420"/>
      <c r="BK1390" s="420"/>
      <c r="BL1390" s="420"/>
      <c r="BM1390" s="420"/>
      <c r="BN1390" s="420"/>
      <c r="BO1390" s="420"/>
      <c r="BP1390" s="420"/>
      <c r="BQ1390" s="420"/>
      <c r="BR1390" s="420"/>
      <c r="BS1390" s="420"/>
      <c r="BT1390" s="420"/>
      <c r="BU1390" s="420"/>
      <c r="BV1390" s="420"/>
      <c r="BW1390" s="420"/>
      <c r="BX1390" s="420"/>
      <c r="BY1390" s="420"/>
      <c r="BZ1390" s="420"/>
      <c r="CA1390" s="420"/>
      <c r="CB1390" s="420"/>
      <c r="CC1390" s="420"/>
      <c r="CD1390" s="420"/>
      <c r="CE1390" s="420"/>
      <c r="CF1390" s="420"/>
      <c r="CG1390" s="420"/>
      <c r="CH1390" s="420"/>
      <c r="CI1390" s="420"/>
      <c r="CJ1390" s="420"/>
      <c r="CK1390" s="420"/>
      <c r="CL1390" s="420"/>
      <c r="CM1390" s="420"/>
      <c r="CN1390" s="420"/>
      <c r="CO1390" s="420"/>
      <c r="CP1390" s="420"/>
      <c r="CQ1390" s="420"/>
      <c r="CR1390" s="420"/>
      <c r="CS1390" s="420"/>
      <c r="CT1390" s="420"/>
      <c r="CU1390" s="420"/>
      <c r="CV1390" s="420"/>
      <c r="CW1390" s="420"/>
      <c r="CX1390" s="420"/>
      <c r="CY1390" s="420"/>
      <c r="CZ1390" s="420"/>
      <c r="DA1390" s="420"/>
      <c r="DB1390" s="420"/>
      <c r="DC1390" s="420"/>
      <c r="DD1390" s="420"/>
      <c r="DE1390" s="420"/>
      <c r="DF1390" s="420"/>
      <c r="DG1390" s="420"/>
      <c r="DH1390" s="420"/>
      <c r="DI1390" s="420"/>
      <c r="DJ1390" s="420"/>
      <c r="DK1390" s="420"/>
      <c r="DL1390" s="420"/>
      <c r="DM1390" s="420"/>
      <c r="DN1390" s="420"/>
      <c r="DO1390" s="420"/>
      <c r="DP1390" s="420"/>
      <c r="DQ1390" s="420"/>
      <c r="DR1390" s="420"/>
      <c r="DS1390" s="420"/>
      <c r="DT1390" s="420"/>
      <c r="DU1390" s="420"/>
      <c r="DV1390" s="420"/>
      <c r="DW1390" s="420"/>
      <c r="DX1390" s="420"/>
      <c r="DY1390" s="420"/>
      <c r="DZ1390" s="420"/>
      <c r="EA1390" s="420"/>
      <c r="EB1390" s="420"/>
      <c r="EC1390" s="420"/>
      <c r="ED1390" s="420"/>
      <c r="EE1390" s="420"/>
      <c r="EF1390" s="420"/>
      <c r="EG1390" s="420"/>
      <c r="EH1390" s="420"/>
      <c r="EI1390" s="420"/>
      <c r="EJ1390" s="420"/>
      <c r="EK1390" s="420"/>
      <c r="EL1390" s="420"/>
      <c r="EM1390" s="420"/>
      <c r="EN1390" s="420"/>
      <c r="EO1390" s="420"/>
      <c r="EP1390" s="420"/>
      <c r="EQ1390" s="420"/>
      <c r="ER1390" s="420"/>
      <c r="ES1390" s="420"/>
      <c r="ET1390" s="420"/>
      <c r="EU1390" s="420"/>
      <c r="EV1390" s="420"/>
      <c r="EW1390" s="420"/>
      <c r="EX1390" s="420"/>
      <c r="EY1390" s="420"/>
      <c r="EZ1390" s="420"/>
      <c r="FA1390" s="420"/>
      <c r="FB1390" s="420"/>
      <c r="FC1390" s="420"/>
      <c r="FD1390" s="420"/>
      <c r="FE1390" s="420"/>
      <c r="FF1390" s="420"/>
      <c r="FG1390" s="420"/>
      <c r="FH1390" s="420"/>
      <c r="FI1390" s="420"/>
      <c r="FJ1390" s="420"/>
      <c r="FK1390" s="420"/>
      <c r="FL1390" s="420"/>
      <c r="FM1390" s="420"/>
      <c r="FN1390" s="420"/>
      <c r="FO1390" s="420"/>
      <c r="FP1390" s="420"/>
      <c r="FQ1390" s="420"/>
      <c r="FR1390" s="420"/>
      <c r="FS1390" s="420"/>
      <c r="FT1390" s="420"/>
      <c r="FU1390" s="420"/>
      <c r="FV1390" s="420"/>
      <c r="FW1390" s="420"/>
      <c r="FX1390" s="420"/>
      <c r="FY1390" s="420"/>
    </row>
    <row r="1391" spans="1:15" ht="18" customHeight="1">
      <c r="A1391" s="994" t="s">
        <v>156</v>
      </c>
      <c r="B1391" s="995"/>
      <c r="C1391" s="996"/>
      <c r="D1391" s="997"/>
      <c r="E1391" s="997"/>
      <c r="F1391" s="997"/>
      <c r="G1391" s="988"/>
      <c r="H1391" s="989"/>
      <c r="I1391" s="989"/>
      <c r="J1391" s="989"/>
      <c r="K1391" s="989"/>
      <c r="L1391" s="989"/>
      <c r="M1391" s="989"/>
      <c r="N1391" s="990"/>
      <c r="O1391" s="990"/>
    </row>
    <row r="1392" spans="1:15" ht="18" customHeight="1">
      <c r="A1392" s="998" t="s">
        <v>1044</v>
      </c>
      <c r="B1392" s="999"/>
      <c r="C1392" s="998"/>
      <c r="D1392" s="697"/>
      <c r="E1392" s="697"/>
      <c r="F1392" s="697"/>
      <c r="G1392" s="434"/>
      <c r="N1392" s="633"/>
      <c r="O1392" s="633"/>
    </row>
    <row r="1393" spans="1:15" s="436" customFormat="1" ht="29.25" customHeight="1">
      <c r="A1393" s="1000" t="s">
        <v>687</v>
      </c>
      <c r="B1393" s="1001" t="s">
        <v>830</v>
      </c>
      <c r="C1393" s="1002"/>
      <c r="D1393" s="1003"/>
      <c r="E1393" s="1003"/>
      <c r="F1393" s="1004">
        <f>F1251</f>
        <v>0</v>
      </c>
      <c r="G1393" s="435"/>
      <c r="N1393" s="647"/>
      <c r="O1393" s="1004">
        <f>O1251</f>
        <v>0</v>
      </c>
    </row>
    <row r="1394" spans="1:15" s="436" customFormat="1" ht="29.25" customHeight="1">
      <c r="A1394" s="1000" t="s">
        <v>732</v>
      </c>
      <c r="B1394" s="1001" t="s">
        <v>891</v>
      </c>
      <c r="C1394" s="1002"/>
      <c r="D1394" s="1003"/>
      <c r="E1394" s="1003"/>
      <c r="F1394" s="1004">
        <f>F1262</f>
        <v>0</v>
      </c>
      <c r="G1394" s="435"/>
      <c r="N1394" s="647"/>
      <c r="O1394" s="1004">
        <f>O1262</f>
        <v>0</v>
      </c>
    </row>
    <row r="1395" spans="1:15" s="436" customFormat="1" ht="29.25" customHeight="1">
      <c r="A1395" s="1000" t="s">
        <v>733</v>
      </c>
      <c r="B1395" s="1001" t="s">
        <v>902</v>
      </c>
      <c r="C1395" s="1002"/>
      <c r="D1395" s="1003"/>
      <c r="E1395" s="1003"/>
      <c r="F1395" s="1004">
        <f>F1292</f>
        <v>0</v>
      </c>
      <c r="G1395" s="435"/>
      <c r="N1395" s="647"/>
      <c r="O1395" s="1004">
        <f>O1292</f>
        <v>0</v>
      </c>
    </row>
    <row r="1396" spans="1:15" s="436" customFormat="1" ht="29.25" customHeight="1">
      <c r="A1396" s="1000" t="s">
        <v>734</v>
      </c>
      <c r="B1396" s="1001" t="s">
        <v>938</v>
      </c>
      <c r="C1396" s="1002"/>
      <c r="D1396" s="1003"/>
      <c r="E1396" s="1003"/>
      <c r="F1396" s="1004">
        <f>F1322</f>
        <v>0</v>
      </c>
      <c r="G1396" s="435"/>
      <c r="N1396" s="647"/>
      <c r="O1396" s="1004">
        <f>O1322</f>
        <v>0</v>
      </c>
    </row>
    <row r="1397" spans="1:15" s="436" customFormat="1" ht="29.25" customHeight="1">
      <c r="A1397" s="1000" t="s">
        <v>735</v>
      </c>
      <c r="B1397" s="1001" t="s">
        <v>973</v>
      </c>
      <c r="C1397" s="1002"/>
      <c r="D1397" s="1003"/>
      <c r="E1397" s="1003"/>
      <c r="F1397" s="1004">
        <f>F1344</f>
        <v>0</v>
      </c>
      <c r="G1397" s="435"/>
      <c r="N1397" s="647"/>
      <c r="O1397" s="1004">
        <f>O1344</f>
        <v>0</v>
      </c>
    </row>
    <row r="1398" spans="1:15" s="436" customFormat="1" ht="29.25" customHeight="1">
      <c r="A1398" s="1000" t="s">
        <v>736</v>
      </c>
      <c r="B1398" s="1001" t="s">
        <v>996</v>
      </c>
      <c r="C1398" s="1002"/>
      <c r="D1398" s="1003"/>
      <c r="E1398" s="1003"/>
      <c r="F1398" s="1004">
        <f>F1364</f>
        <v>0</v>
      </c>
      <c r="G1398" s="435"/>
      <c r="N1398" s="647"/>
      <c r="O1398" s="1004">
        <f>O1364</f>
        <v>0</v>
      </c>
    </row>
    <row r="1399" spans="1:15" s="436" customFormat="1" ht="29.25" customHeight="1">
      <c r="A1399" s="1000" t="s">
        <v>1014</v>
      </c>
      <c r="B1399" s="1001" t="s">
        <v>1015</v>
      </c>
      <c r="C1399" s="1002"/>
      <c r="D1399" s="1002"/>
      <c r="E1399" s="1002"/>
      <c r="F1399" s="647">
        <f>F1388</f>
        <v>0</v>
      </c>
      <c r="G1399" s="435"/>
      <c r="N1399" s="647"/>
      <c r="O1399" s="647">
        <f>O1388</f>
        <v>0</v>
      </c>
    </row>
    <row r="1400" spans="1:15" ht="29.25" customHeight="1">
      <c r="A1400" s="1005"/>
      <c r="B1400" s="1006"/>
      <c r="C1400" s="1007"/>
      <c r="D1400" s="697"/>
      <c r="E1400" s="697"/>
      <c r="F1400" s="697"/>
      <c r="G1400" s="437"/>
      <c r="N1400" s="633"/>
      <c r="O1400" s="633"/>
    </row>
    <row r="1401" spans="1:15" s="436" customFormat="1" ht="29.25" customHeight="1">
      <c r="A1401" s="1008"/>
      <c r="B1401" s="1009"/>
      <c r="C1401" s="1010"/>
      <c r="D1401" s="1011"/>
      <c r="E1401" s="1012" t="s">
        <v>1045</v>
      </c>
      <c r="F1401" s="907">
        <f>SUM(F1393:F1400)</f>
        <v>0</v>
      </c>
      <c r="G1401" s="992"/>
      <c r="H1401" s="991"/>
      <c r="I1401" s="991"/>
      <c r="J1401" s="991"/>
      <c r="K1401" s="991"/>
      <c r="L1401" s="991"/>
      <c r="M1401" s="991"/>
      <c r="N1401" s="993"/>
      <c r="O1401" s="907">
        <f>SUM(O1393:O1400)</f>
        <v>0</v>
      </c>
    </row>
    <row r="1402" spans="1:15" s="436" customFormat="1" ht="29.25" customHeight="1">
      <c r="A1402" s="438"/>
      <c r="B1402" s="439"/>
      <c r="C1402" s="440"/>
      <c r="E1402" s="441"/>
      <c r="F1402" s="443"/>
      <c r="G1402" s="442"/>
      <c r="N1402" s="647"/>
      <c r="O1402" s="647"/>
    </row>
    <row r="1403" spans="1:15" ht="30" customHeight="1">
      <c r="A1403" s="1196" t="s">
        <v>1046</v>
      </c>
      <c r="B1403" s="1196"/>
      <c r="C1403" s="1196"/>
      <c r="D1403" s="1196"/>
      <c r="E1403" s="1196"/>
      <c r="F1403" s="1111"/>
      <c r="G1403" s="38" t="s">
        <v>0</v>
      </c>
      <c r="H1403" s="38">
        <v>122</v>
      </c>
      <c r="N1403" s="89"/>
      <c r="O1403" s="89"/>
    </row>
    <row r="1404" spans="1:15" ht="24.75" customHeight="1">
      <c r="A1404" s="630" t="s">
        <v>38</v>
      </c>
      <c r="B1404" s="967" t="s">
        <v>39</v>
      </c>
      <c r="C1404" s="968" t="s">
        <v>40</v>
      </c>
      <c r="D1404" s="968" t="s">
        <v>41</v>
      </c>
      <c r="E1404" s="969" t="s">
        <v>1261</v>
      </c>
      <c r="F1404" s="969" t="s">
        <v>1262</v>
      </c>
      <c r="G1404" s="600"/>
      <c r="H1404" s="601"/>
      <c r="I1404" s="601"/>
      <c r="J1404" s="146"/>
      <c r="K1404" s="146"/>
      <c r="L1404" s="601"/>
      <c r="M1404" s="146"/>
      <c r="N1404" s="631" t="s">
        <v>1264</v>
      </c>
      <c r="O1404" s="631" t="s">
        <v>1263</v>
      </c>
    </row>
    <row r="1405" spans="1:15" ht="16.5" customHeight="1">
      <c r="A1405" s="444" t="s">
        <v>823</v>
      </c>
      <c r="B1405" s="446" t="s">
        <v>1049</v>
      </c>
      <c r="C1405" s="444"/>
      <c r="D1405" s="444"/>
      <c r="E1405" s="444"/>
      <c r="F1405" s="444"/>
      <c r="N1405" s="633"/>
      <c r="O1405" s="633"/>
    </row>
    <row r="1406" spans="1:15" ht="12.75">
      <c r="A1406" s="444" t="s">
        <v>687</v>
      </c>
      <c r="B1406" s="444" t="s">
        <v>1050</v>
      </c>
      <c r="C1406" s="445"/>
      <c r="D1406" s="445"/>
      <c r="E1406" s="445"/>
      <c r="F1406" s="445"/>
      <c r="N1406" s="633"/>
      <c r="O1406" s="633"/>
    </row>
    <row r="1407" spans="1:15" ht="50.25" customHeight="1">
      <c r="A1407" s="447">
        <v>1</v>
      </c>
      <c r="B1407" s="448" t="s">
        <v>1051</v>
      </c>
      <c r="C1407" s="449" t="s">
        <v>1052</v>
      </c>
      <c r="D1407" s="450"/>
      <c r="E1407" s="449"/>
      <c r="F1407" s="449"/>
      <c r="N1407" s="633"/>
      <c r="O1407" s="633"/>
    </row>
    <row r="1408" spans="1:15" ht="13.5" customHeight="1">
      <c r="A1408" s="451"/>
      <c r="B1408" s="451" t="s">
        <v>1053</v>
      </c>
      <c r="C1408" s="452" t="s">
        <v>804</v>
      </c>
      <c r="D1408" s="453">
        <v>1</v>
      </c>
      <c r="E1408" s="454"/>
      <c r="F1408" s="454">
        <f aca="true" t="shared" si="58" ref="F1408:F1417">SUM(D1408*E1408)</f>
        <v>0</v>
      </c>
      <c r="N1408" s="923">
        <f aca="true" t="shared" si="59" ref="N1408:N1417">E1408*1.2</f>
        <v>0</v>
      </c>
      <c r="O1408" s="923">
        <f aca="true" t="shared" si="60" ref="O1408:O1423">N1408*D1408</f>
        <v>0</v>
      </c>
    </row>
    <row r="1409" spans="1:15" ht="12.75" customHeight="1">
      <c r="A1409" s="451"/>
      <c r="B1409" s="451" t="s">
        <v>1054</v>
      </c>
      <c r="C1409" s="452" t="s">
        <v>804</v>
      </c>
      <c r="D1409" s="453">
        <v>15</v>
      </c>
      <c r="E1409" s="454"/>
      <c r="F1409" s="454">
        <f t="shared" si="58"/>
        <v>0</v>
      </c>
      <c r="N1409" s="923">
        <f t="shared" si="59"/>
        <v>0</v>
      </c>
      <c r="O1409" s="923">
        <f t="shared" si="60"/>
        <v>0</v>
      </c>
    </row>
    <row r="1410" spans="1:15" ht="12.75" customHeight="1">
      <c r="A1410" s="451"/>
      <c r="B1410" s="451" t="s">
        <v>1055</v>
      </c>
      <c r="C1410" s="452" t="s">
        <v>804</v>
      </c>
      <c r="D1410" s="453">
        <v>13</v>
      </c>
      <c r="E1410" s="454"/>
      <c r="F1410" s="454">
        <f t="shared" si="58"/>
        <v>0</v>
      </c>
      <c r="N1410" s="923">
        <f t="shared" si="59"/>
        <v>0</v>
      </c>
      <c r="O1410" s="923">
        <f t="shared" si="60"/>
        <v>0</v>
      </c>
    </row>
    <row r="1411" spans="1:15" ht="12.75" customHeight="1">
      <c r="A1411" s="451"/>
      <c r="B1411" s="451" t="s">
        <v>1056</v>
      </c>
      <c r="C1411" s="452" t="s">
        <v>804</v>
      </c>
      <c r="D1411" s="453">
        <v>5</v>
      </c>
      <c r="E1411" s="454"/>
      <c r="F1411" s="454">
        <f t="shared" si="58"/>
        <v>0</v>
      </c>
      <c r="N1411" s="923">
        <f t="shared" si="59"/>
        <v>0</v>
      </c>
      <c r="O1411" s="923">
        <f t="shared" si="60"/>
        <v>0</v>
      </c>
    </row>
    <row r="1412" spans="1:15" ht="12.75" customHeight="1">
      <c r="A1412" s="451"/>
      <c r="B1412" s="451" t="s">
        <v>1057</v>
      </c>
      <c r="C1412" s="452" t="s">
        <v>804</v>
      </c>
      <c r="D1412" s="453">
        <v>1</v>
      </c>
      <c r="E1412" s="454"/>
      <c r="F1412" s="454">
        <f t="shared" si="58"/>
        <v>0</v>
      </c>
      <c r="N1412" s="923">
        <f t="shared" si="59"/>
        <v>0</v>
      </c>
      <c r="O1412" s="923">
        <f t="shared" si="60"/>
        <v>0</v>
      </c>
    </row>
    <row r="1413" spans="1:15" ht="12.75" customHeight="1">
      <c r="A1413" s="451"/>
      <c r="B1413" s="451" t="s">
        <v>1058</v>
      </c>
      <c r="C1413" s="452" t="s">
        <v>804</v>
      </c>
      <c r="D1413" s="453">
        <v>6</v>
      </c>
      <c r="E1413" s="454"/>
      <c r="F1413" s="454">
        <f t="shared" si="58"/>
        <v>0</v>
      </c>
      <c r="N1413" s="923">
        <f t="shared" si="59"/>
        <v>0</v>
      </c>
      <c r="O1413" s="923">
        <f t="shared" si="60"/>
        <v>0</v>
      </c>
    </row>
    <row r="1414" spans="1:15" ht="12.75" customHeight="1">
      <c r="A1414" s="451"/>
      <c r="B1414" s="451" t="s">
        <v>1059</v>
      </c>
      <c r="C1414" s="452" t="s">
        <v>47</v>
      </c>
      <c r="D1414" s="453">
        <v>2</v>
      </c>
      <c r="E1414" s="454"/>
      <c r="F1414" s="454">
        <f t="shared" si="58"/>
        <v>0</v>
      </c>
      <c r="N1414" s="923">
        <f t="shared" si="59"/>
        <v>0</v>
      </c>
      <c r="O1414" s="923">
        <f t="shared" si="60"/>
        <v>0</v>
      </c>
    </row>
    <row r="1415" spans="1:15" ht="12.75" customHeight="1">
      <c r="A1415" s="451"/>
      <c r="B1415" s="451" t="s">
        <v>1060</v>
      </c>
      <c r="C1415" s="452" t="s">
        <v>804</v>
      </c>
      <c r="D1415" s="455">
        <v>2</v>
      </c>
      <c r="E1415" s="456"/>
      <c r="F1415" s="454">
        <f t="shared" si="58"/>
        <v>0</v>
      </c>
      <c r="N1415" s="923">
        <f t="shared" si="59"/>
        <v>0</v>
      </c>
      <c r="O1415" s="923">
        <f t="shared" si="60"/>
        <v>0</v>
      </c>
    </row>
    <row r="1416" spans="1:15" ht="51" customHeight="1">
      <c r="A1416" s="445">
        <v>2</v>
      </c>
      <c r="B1416" s="445" t="s">
        <v>1061</v>
      </c>
      <c r="C1416" s="445" t="s">
        <v>804</v>
      </c>
      <c r="D1416" s="457">
        <f>SUM(D1408:D1415)</f>
        <v>45</v>
      </c>
      <c r="E1416" s="458"/>
      <c r="F1416" s="458">
        <f t="shared" si="58"/>
        <v>0</v>
      </c>
      <c r="N1416" s="923">
        <f t="shared" si="59"/>
        <v>0</v>
      </c>
      <c r="O1416" s="923">
        <f t="shared" si="60"/>
        <v>0</v>
      </c>
    </row>
    <row r="1417" spans="1:15" ht="39.75" customHeight="1">
      <c r="A1417" s="445">
        <v>3</v>
      </c>
      <c r="B1417" s="445" t="s">
        <v>1062</v>
      </c>
      <c r="C1417" s="445" t="s">
        <v>804</v>
      </c>
      <c r="D1417" s="457">
        <v>45</v>
      </c>
      <c r="E1417" s="458"/>
      <c r="F1417" s="458">
        <f t="shared" si="58"/>
        <v>0</v>
      </c>
      <c r="N1417" s="923">
        <f t="shared" si="59"/>
        <v>0</v>
      </c>
      <c r="O1417" s="923">
        <f t="shared" si="60"/>
        <v>0</v>
      </c>
    </row>
    <row r="1418" spans="1:15" ht="26.25" customHeight="1">
      <c r="A1418" s="1243">
        <v>4</v>
      </c>
      <c r="B1418" s="447" t="s">
        <v>1063</v>
      </c>
      <c r="C1418" s="447"/>
      <c r="D1418" s="459"/>
      <c r="E1418" s="460"/>
      <c r="F1418" s="460"/>
      <c r="N1418" s="633"/>
      <c r="O1418" s="923">
        <f t="shared" si="60"/>
        <v>0</v>
      </c>
    </row>
    <row r="1419" spans="1:15" ht="12" customHeight="1">
      <c r="A1419" s="1244"/>
      <c r="B1419" s="451" t="s">
        <v>1064</v>
      </c>
      <c r="C1419" s="451" t="s">
        <v>1065</v>
      </c>
      <c r="D1419" s="455">
        <v>15</v>
      </c>
      <c r="E1419" s="456"/>
      <c r="F1419" s="456">
        <f>SUM(D1419*E1419)</f>
        <v>0</v>
      </c>
      <c r="N1419" s="923">
        <f>E1419*1.2</f>
        <v>0</v>
      </c>
      <c r="O1419" s="923">
        <f t="shared" si="60"/>
        <v>0</v>
      </c>
    </row>
    <row r="1420" spans="1:15" ht="12" customHeight="1">
      <c r="A1420" s="1244"/>
      <c r="B1420" s="451" t="s">
        <v>1066</v>
      </c>
      <c r="C1420" s="451" t="s">
        <v>1065</v>
      </c>
      <c r="D1420" s="455">
        <v>20</v>
      </c>
      <c r="E1420" s="456"/>
      <c r="F1420" s="456">
        <f>SUM(D1420*E1420)</f>
        <v>0</v>
      </c>
      <c r="N1420" s="923">
        <f>E1420*1.2</f>
        <v>0</v>
      </c>
      <c r="O1420" s="923">
        <f t="shared" si="60"/>
        <v>0</v>
      </c>
    </row>
    <row r="1421" spans="1:15" ht="14.25" customHeight="1">
      <c r="A1421" s="1244"/>
      <c r="B1421" s="451" t="s">
        <v>1067</v>
      </c>
      <c r="C1421" s="451" t="s">
        <v>1065</v>
      </c>
      <c r="D1421" s="455">
        <v>25</v>
      </c>
      <c r="E1421" s="456"/>
      <c r="F1421" s="456">
        <f>SUM(D1421*E1421)</f>
        <v>0</v>
      </c>
      <c r="N1421" s="923">
        <f>E1421*1.2</f>
        <v>0</v>
      </c>
      <c r="O1421" s="923">
        <f t="shared" si="60"/>
        <v>0</v>
      </c>
    </row>
    <row r="1422" spans="1:15" ht="12.75">
      <c r="A1422" s="1244"/>
      <c r="B1422" s="451" t="s">
        <v>1068</v>
      </c>
      <c r="C1422" s="451" t="s">
        <v>1065</v>
      </c>
      <c r="D1422" s="455">
        <v>45</v>
      </c>
      <c r="E1422" s="456"/>
      <c r="F1422" s="456">
        <f>SUM(D1422*E1422)</f>
        <v>0</v>
      </c>
      <c r="N1422" s="923">
        <f>E1422*1.2</f>
        <v>0</v>
      </c>
      <c r="O1422" s="923">
        <f t="shared" si="60"/>
        <v>0</v>
      </c>
    </row>
    <row r="1423" spans="1:15" ht="12.75">
      <c r="A1423" s="1245"/>
      <c r="B1423" s="461" t="s">
        <v>1069</v>
      </c>
      <c r="C1423" s="461" t="s">
        <v>1065</v>
      </c>
      <c r="D1423" s="462">
        <v>10</v>
      </c>
      <c r="E1423" s="463"/>
      <c r="F1423" s="456">
        <f>SUM(D1423*E1423)</f>
        <v>0</v>
      </c>
      <c r="N1423" s="923">
        <f>E1423*1.2</f>
        <v>0</v>
      </c>
      <c r="O1423" s="923">
        <f t="shared" si="60"/>
        <v>0</v>
      </c>
    </row>
    <row r="1424" spans="1:15" ht="38.25">
      <c r="A1424" s="1243">
        <v>5</v>
      </c>
      <c r="B1424" s="464" t="s">
        <v>1070</v>
      </c>
      <c r="C1424" s="451"/>
      <c r="D1424" s="455"/>
      <c r="E1424" s="456"/>
      <c r="F1424" s="460"/>
      <c r="N1424" s="633"/>
      <c r="O1424" s="923"/>
    </row>
    <row r="1425" spans="1:15" ht="12.75">
      <c r="A1425" s="1244"/>
      <c r="B1425" s="451" t="s">
        <v>1071</v>
      </c>
      <c r="C1425" s="451" t="s">
        <v>1065</v>
      </c>
      <c r="D1425" s="455">
        <v>15</v>
      </c>
      <c r="E1425" s="456"/>
      <c r="F1425" s="456">
        <f>SUM(D1425*E1425)</f>
        <v>0</v>
      </c>
      <c r="N1425" s="923">
        <f>E1425*1.2</f>
        <v>0</v>
      </c>
      <c r="O1425" s="923">
        <f>N1425*D1425</f>
        <v>0</v>
      </c>
    </row>
    <row r="1426" spans="1:15" ht="12.75">
      <c r="A1426" s="1244"/>
      <c r="B1426" s="451" t="s">
        <v>1072</v>
      </c>
      <c r="C1426" s="451" t="s">
        <v>1065</v>
      </c>
      <c r="D1426" s="455">
        <v>20</v>
      </c>
      <c r="E1426" s="456"/>
      <c r="F1426" s="456">
        <f>SUM(D1426*E1426)</f>
        <v>0</v>
      </c>
      <c r="N1426" s="923">
        <f>E1426*1.2</f>
        <v>0</v>
      </c>
      <c r="O1426" s="923">
        <f>N1426*D1426</f>
        <v>0</v>
      </c>
    </row>
    <row r="1427" spans="1:15" ht="12.75">
      <c r="A1427" s="1244"/>
      <c r="B1427" s="451" t="s">
        <v>1073</v>
      </c>
      <c r="C1427" s="451" t="s">
        <v>1065</v>
      </c>
      <c r="D1427" s="455">
        <v>25</v>
      </c>
      <c r="E1427" s="456"/>
      <c r="F1427" s="456">
        <f>SUM(D1427*E1427)</f>
        <v>0</v>
      </c>
      <c r="N1427" s="923">
        <f>E1427*1.2</f>
        <v>0</v>
      </c>
      <c r="O1427" s="923">
        <f>N1427*D1427</f>
        <v>0</v>
      </c>
    </row>
    <row r="1428" spans="1:15" ht="12.75">
      <c r="A1428" s="1244"/>
      <c r="B1428" s="451" t="s">
        <v>1074</v>
      </c>
      <c r="C1428" s="451" t="s">
        <v>1065</v>
      </c>
      <c r="D1428" s="455">
        <v>45</v>
      </c>
      <c r="E1428" s="456"/>
      <c r="F1428" s="456">
        <f>SUM(D1428*E1428)</f>
        <v>0</v>
      </c>
      <c r="N1428" s="923">
        <f>E1428*1.2</f>
        <v>0</v>
      </c>
      <c r="O1428" s="923">
        <f>N1428*D1428</f>
        <v>0</v>
      </c>
    </row>
    <row r="1429" spans="1:15" ht="12.75">
      <c r="A1429" s="1245"/>
      <c r="B1429" s="451" t="s">
        <v>1075</v>
      </c>
      <c r="C1429" s="451" t="s">
        <v>1065</v>
      </c>
      <c r="D1429" s="462">
        <v>10</v>
      </c>
      <c r="E1429" s="456"/>
      <c r="F1429" s="456">
        <f>SUM(D1429*E1429)</f>
        <v>0</v>
      </c>
      <c r="N1429" s="923">
        <f>E1429*1.2</f>
        <v>0</v>
      </c>
      <c r="O1429" s="923">
        <f>N1429*D1429</f>
        <v>0</v>
      </c>
    </row>
    <row r="1430" spans="1:15" ht="43.5" customHeight="1">
      <c r="A1430" s="1246">
        <v>6</v>
      </c>
      <c r="B1430" s="464" t="s">
        <v>1076</v>
      </c>
      <c r="C1430" s="464"/>
      <c r="D1430" s="459"/>
      <c r="E1430" s="464"/>
      <c r="F1430" s="464"/>
      <c r="N1430" s="633"/>
      <c r="O1430" s="923"/>
    </row>
    <row r="1431" spans="1:15" ht="12.75">
      <c r="A1431" s="1247"/>
      <c r="B1431" s="465" t="s">
        <v>1077</v>
      </c>
      <c r="C1431" s="465" t="s">
        <v>1065</v>
      </c>
      <c r="D1431" s="455">
        <v>750</v>
      </c>
      <c r="E1431" s="465"/>
      <c r="F1431" s="456">
        <f>SUM(D1431*E1431)</f>
        <v>0</v>
      </c>
      <c r="N1431" s="923">
        <f>E1431*1.2</f>
        <v>0</v>
      </c>
      <c r="O1431" s="923">
        <f>N1431*D1431</f>
        <v>0</v>
      </c>
    </row>
    <row r="1432" spans="1:15" ht="12.75">
      <c r="A1432" s="1248"/>
      <c r="B1432" s="466" t="s">
        <v>1078</v>
      </c>
      <c r="C1432" s="466" t="s">
        <v>1065</v>
      </c>
      <c r="D1432" s="462">
        <v>150</v>
      </c>
      <c r="E1432" s="466"/>
      <c r="F1432" s="463">
        <f>SUM(D1432*E1432)</f>
        <v>0</v>
      </c>
      <c r="N1432" s="923">
        <f>E1432*1.2</f>
        <v>0</v>
      </c>
      <c r="O1432" s="923">
        <f>N1432*D1432</f>
        <v>0</v>
      </c>
    </row>
    <row r="1433" spans="1:15" ht="63" customHeight="1">
      <c r="A1433" s="467">
        <v>7</v>
      </c>
      <c r="B1433" s="468" t="s">
        <v>1079</v>
      </c>
      <c r="C1433" s="468"/>
      <c r="D1433" s="469">
        <v>0.4</v>
      </c>
      <c r="E1433" s="458"/>
      <c r="F1433" s="458">
        <f>SUM(D1433*E1433)</f>
        <v>0</v>
      </c>
      <c r="N1433" s="923">
        <f>E1433*1.2</f>
        <v>0</v>
      </c>
      <c r="O1433" s="923">
        <f>N1433*D1433</f>
        <v>0</v>
      </c>
    </row>
    <row r="1434" spans="1:15" ht="37.5" customHeight="1">
      <c r="A1434" s="1249">
        <v>8</v>
      </c>
      <c r="B1434" s="464" t="s">
        <v>1080</v>
      </c>
      <c r="C1434" s="464"/>
      <c r="D1434" s="459"/>
      <c r="E1434" s="464"/>
      <c r="F1434" s="460"/>
      <c r="N1434" s="633"/>
      <c r="O1434" s="923"/>
    </row>
    <row r="1435" spans="1:15" ht="13.5" customHeight="1">
      <c r="A1435" s="1250"/>
      <c r="B1435" s="465" t="s">
        <v>1081</v>
      </c>
      <c r="C1435" s="465"/>
      <c r="D1435" s="455">
        <v>1</v>
      </c>
      <c r="E1435" s="465"/>
      <c r="F1435" s="456">
        <f>SUM(D1435*E1435)</f>
        <v>0</v>
      </c>
      <c r="N1435" s="923">
        <f>E1435*1.2</f>
        <v>0</v>
      </c>
      <c r="O1435" s="923">
        <f>N1435*D1435</f>
        <v>0</v>
      </c>
    </row>
    <row r="1436" spans="1:15" ht="13.5" customHeight="1">
      <c r="A1436" s="1250"/>
      <c r="B1436" s="465" t="s">
        <v>1082</v>
      </c>
      <c r="C1436" s="465"/>
      <c r="D1436" s="455">
        <v>3</v>
      </c>
      <c r="E1436" s="465"/>
      <c r="F1436" s="456">
        <f>SUM(D1436*E1436)</f>
        <v>0</v>
      </c>
      <c r="N1436" s="923">
        <f>E1436*1.2</f>
        <v>0</v>
      </c>
      <c r="O1436" s="923">
        <f>N1436*D1436</f>
        <v>0</v>
      </c>
    </row>
    <row r="1437" spans="1:15" ht="13.5" customHeight="1">
      <c r="A1437" s="1251"/>
      <c r="B1437" s="466" t="s">
        <v>1083</v>
      </c>
      <c r="C1437" s="466"/>
      <c r="D1437" s="462">
        <v>2</v>
      </c>
      <c r="E1437" s="466"/>
      <c r="F1437" s="463">
        <f>SUM(D1437*E1437)</f>
        <v>0</v>
      </c>
      <c r="N1437" s="923">
        <f>E1437*1.2</f>
        <v>0</v>
      </c>
      <c r="O1437" s="923">
        <f>N1437*D1437</f>
        <v>0</v>
      </c>
    </row>
    <row r="1438" spans="1:15" ht="132" customHeight="1">
      <c r="A1438" s="470">
        <v>9</v>
      </c>
      <c r="B1438" s="464" t="s">
        <v>1084</v>
      </c>
      <c r="C1438" s="464"/>
      <c r="D1438" s="464"/>
      <c r="E1438" s="464"/>
      <c r="F1438" s="464"/>
      <c r="N1438" s="633"/>
      <c r="O1438" s="923"/>
    </row>
    <row r="1439" spans="1:15" ht="12" customHeight="1">
      <c r="A1439" s="471"/>
      <c r="B1439" s="465" t="s">
        <v>1085</v>
      </c>
      <c r="C1439" s="465" t="s">
        <v>804</v>
      </c>
      <c r="D1439" s="455">
        <v>1</v>
      </c>
      <c r="E1439" s="465"/>
      <c r="F1439" s="456">
        <f>SUM(D1439*E1439)</f>
        <v>0</v>
      </c>
      <c r="N1439" s="923">
        <f>E1439*1.2</f>
        <v>0</v>
      </c>
      <c r="O1439" s="923">
        <f>N1439*D1439</f>
        <v>0</v>
      </c>
    </row>
    <row r="1440" spans="1:15" ht="12" customHeight="1">
      <c r="A1440" s="465"/>
      <c r="B1440" s="465" t="s">
        <v>1086</v>
      </c>
      <c r="C1440" s="465" t="s">
        <v>804</v>
      </c>
      <c r="D1440" s="455">
        <v>3</v>
      </c>
      <c r="E1440" s="465"/>
      <c r="F1440" s="456">
        <f>SUM(D1440*E1440)</f>
        <v>0</v>
      </c>
      <c r="N1440" s="923">
        <f>E1440*1.2</f>
        <v>0</v>
      </c>
      <c r="O1440" s="923">
        <f>N1440*D1440</f>
        <v>0</v>
      </c>
    </row>
    <row r="1441" spans="1:15" ht="12" customHeight="1">
      <c r="A1441" s="465"/>
      <c r="B1441" s="465" t="s">
        <v>1087</v>
      </c>
      <c r="C1441" s="465" t="s">
        <v>804</v>
      </c>
      <c r="D1441" s="455">
        <v>2</v>
      </c>
      <c r="E1441" s="465"/>
      <c r="F1441" s="456">
        <f>SUM(D1441*E1441)</f>
        <v>0</v>
      </c>
      <c r="N1441" s="923">
        <f>E1441*1.2</f>
        <v>0</v>
      </c>
      <c r="O1441" s="923">
        <f>N1441*D1441</f>
        <v>0</v>
      </c>
    </row>
    <row r="1442" spans="1:15" ht="30.75" customHeight="1">
      <c r="A1442" s="473">
        <v>10</v>
      </c>
      <c r="B1442" s="467" t="s">
        <v>1088</v>
      </c>
      <c r="C1442" s="473" t="s">
        <v>758</v>
      </c>
      <c r="D1442" s="473">
        <v>1</v>
      </c>
      <c r="E1442" s="474"/>
      <c r="F1442" s="474">
        <f>SUM(D1442*E1442)</f>
        <v>0</v>
      </c>
      <c r="N1442" s="923">
        <f>E1442*1.2</f>
        <v>0</v>
      </c>
      <c r="O1442" s="923">
        <f>N1442*D1442</f>
        <v>0</v>
      </c>
    </row>
    <row r="1443" spans="1:15" ht="25.5">
      <c r="A1443" s="473">
        <v>11</v>
      </c>
      <c r="B1443" s="473" t="s">
        <v>1089</v>
      </c>
      <c r="C1443" s="473" t="s">
        <v>758</v>
      </c>
      <c r="D1443" s="473">
        <v>1</v>
      </c>
      <c r="E1443" s="473"/>
      <c r="F1443" s="474">
        <f>SUM(D1443*E1443)</f>
        <v>0</v>
      </c>
      <c r="N1443" s="923">
        <f>E1443*1.2</f>
        <v>0</v>
      </c>
      <c r="O1443" s="923">
        <f>N1443*D1443</f>
        <v>0</v>
      </c>
    </row>
    <row r="1444" spans="1:15" ht="15.75" customHeight="1">
      <c r="A1444" s="1013"/>
      <c r="B1444" s="1014" t="s">
        <v>1090</v>
      </c>
      <c r="C1444" s="1013"/>
      <c r="D1444" s="1013"/>
      <c r="E1444" s="1013"/>
      <c r="F1444" s="1015">
        <f>SUM(F1407:F1443)</f>
        <v>0</v>
      </c>
      <c r="G1444" s="989"/>
      <c r="H1444" s="989"/>
      <c r="I1444" s="989"/>
      <c r="J1444" s="989"/>
      <c r="K1444" s="989"/>
      <c r="L1444" s="989"/>
      <c r="M1444" s="989"/>
      <c r="N1444" s="990"/>
      <c r="O1444" s="1015">
        <f>SUM(O1407:O1443)</f>
        <v>0</v>
      </c>
    </row>
    <row r="1445" spans="1:15" ht="12.75">
      <c r="A1445" s="473"/>
      <c r="B1445" s="475" t="s">
        <v>1091</v>
      </c>
      <c r="C1445" s="473"/>
      <c r="D1445" s="473"/>
      <c r="E1445" s="473"/>
      <c r="F1445" s="473"/>
      <c r="N1445" s="633"/>
      <c r="O1445" s="633"/>
    </row>
    <row r="1446" spans="1:15" ht="50.25" customHeight="1">
      <c r="A1446" s="467">
        <v>1</v>
      </c>
      <c r="B1446" s="476" t="s">
        <v>1092</v>
      </c>
      <c r="C1446" s="467" t="s">
        <v>804</v>
      </c>
      <c r="D1446" s="467">
        <v>2</v>
      </c>
      <c r="E1446" s="458"/>
      <c r="F1446" s="458">
        <f aca="true" t="shared" si="61" ref="F1446:F1457">SUM(D1446*E1446)</f>
        <v>0</v>
      </c>
      <c r="N1446" s="923">
        <f aca="true" t="shared" si="62" ref="N1446:N1457">E1446*1.2</f>
        <v>0</v>
      </c>
      <c r="O1446" s="923">
        <f aca="true" t="shared" si="63" ref="O1446:O1457">N1446*D1446</f>
        <v>0</v>
      </c>
    </row>
    <row r="1447" spans="1:15" ht="51" customHeight="1">
      <c r="A1447" s="467">
        <v>2</v>
      </c>
      <c r="B1447" s="477" t="s">
        <v>1093</v>
      </c>
      <c r="C1447" s="467" t="s">
        <v>804</v>
      </c>
      <c r="D1447" s="467">
        <v>2</v>
      </c>
      <c r="E1447" s="458"/>
      <c r="F1447" s="463">
        <f t="shared" si="61"/>
        <v>0</v>
      </c>
      <c r="N1447" s="923">
        <f t="shared" si="62"/>
        <v>0</v>
      </c>
      <c r="O1447" s="923">
        <f t="shared" si="63"/>
        <v>0</v>
      </c>
    </row>
    <row r="1448" spans="1:15" ht="25.5" customHeight="1">
      <c r="A1448" s="467">
        <v>3</v>
      </c>
      <c r="B1448" s="477" t="s">
        <v>1094</v>
      </c>
      <c r="C1448" s="467" t="s">
        <v>804</v>
      </c>
      <c r="D1448" s="467">
        <v>2</v>
      </c>
      <c r="E1448" s="458"/>
      <c r="F1448" s="463">
        <f t="shared" si="61"/>
        <v>0</v>
      </c>
      <c r="N1448" s="923">
        <f t="shared" si="62"/>
        <v>0</v>
      </c>
      <c r="O1448" s="923">
        <f t="shared" si="63"/>
        <v>0</v>
      </c>
    </row>
    <row r="1449" spans="1:15" ht="25.5">
      <c r="A1449" s="467">
        <v>4</v>
      </c>
      <c r="B1449" s="476" t="s">
        <v>1095</v>
      </c>
      <c r="C1449" s="467" t="s">
        <v>804</v>
      </c>
      <c r="D1449" s="467">
        <v>2</v>
      </c>
      <c r="E1449" s="458"/>
      <c r="F1449" s="463">
        <f t="shared" si="61"/>
        <v>0</v>
      </c>
      <c r="N1449" s="923">
        <f t="shared" si="62"/>
        <v>0</v>
      </c>
      <c r="O1449" s="923">
        <f t="shared" si="63"/>
        <v>0</v>
      </c>
    </row>
    <row r="1450" spans="1:15" ht="25.5">
      <c r="A1450" s="467">
        <v>5</v>
      </c>
      <c r="B1450" s="477" t="s">
        <v>1096</v>
      </c>
      <c r="C1450" s="467" t="s">
        <v>804</v>
      </c>
      <c r="D1450" s="467">
        <v>2</v>
      </c>
      <c r="E1450" s="458"/>
      <c r="F1450" s="463">
        <f t="shared" si="61"/>
        <v>0</v>
      </c>
      <c r="N1450" s="923">
        <f t="shared" si="62"/>
        <v>0</v>
      </c>
      <c r="O1450" s="923">
        <f t="shared" si="63"/>
        <v>0</v>
      </c>
    </row>
    <row r="1451" spans="1:15" ht="42" customHeight="1">
      <c r="A1451" s="467">
        <v>6</v>
      </c>
      <c r="B1451" s="477" t="s">
        <v>1097</v>
      </c>
      <c r="C1451" s="467" t="s">
        <v>804</v>
      </c>
      <c r="D1451" s="467">
        <v>1</v>
      </c>
      <c r="E1451" s="458"/>
      <c r="F1451" s="463">
        <f t="shared" si="61"/>
        <v>0</v>
      </c>
      <c r="N1451" s="923">
        <f t="shared" si="62"/>
        <v>0</v>
      </c>
      <c r="O1451" s="923">
        <f t="shared" si="63"/>
        <v>0</v>
      </c>
    </row>
    <row r="1452" spans="1:15" ht="66.75">
      <c r="A1452" s="467">
        <v>7</v>
      </c>
      <c r="B1452" s="477" t="s">
        <v>1098</v>
      </c>
      <c r="C1452" s="467" t="s">
        <v>804</v>
      </c>
      <c r="D1452" s="467">
        <v>1</v>
      </c>
      <c r="E1452" s="458"/>
      <c r="F1452" s="463">
        <f t="shared" si="61"/>
        <v>0</v>
      </c>
      <c r="N1452" s="923">
        <f t="shared" si="62"/>
        <v>0</v>
      </c>
      <c r="O1452" s="923">
        <f t="shared" si="63"/>
        <v>0</v>
      </c>
    </row>
    <row r="1453" spans="1:15" ht="38.25" customHeight="1">
      <c r="A1453" s="467">
        <v>8</v>
      </c>
      <c r="B1453" s="476" t="s">
        <v>1099</v>
      </c>
      <c r="C1453" s="467" t="s">
        <v>804</v>
      </c>
      <c r="D1453" s="467">
        <v>1</v>
      </c>
      <c r="E1453" s="458"/>
      <c r="F1453" s="463">
        <f t="shared" si="61"/>
        <v>0</v>
      </c>
      <c r="N1453" s="923">
        <f t="shared" si="62"/>
        <v>0</v>
      </c>
      <c r="O1453" s="923">
        <f t="shared" si="63"/>
        <v>0</v>
      </c>
    </row>
    <row r="1454" spans="1:15" ht="37.5" customHeight="1">
      <c r="A1454" s="467">
        <v>9</v>
      </c>
      <c r="B1454" s="476" t="s">
        <v>1100</v>
      </c>
      <c r="C1454" s="467" t="s">
        <v>804</v>
      </c>
      <c r="D1454" s="457">
        <v>1</v>
      </c>
      <c r="E1454" s="458"/>
      <c r="F1454" s="458">
        <f t="shared" si="61"/>
        <v>0</v>
      </c>
      <c r="N1454" s="923">
        <f t="shared" si="62"/>
        <v>0</v>
      </c>
      <c r="O1454" s="923">
        <f t="shared" si="63"/>
        <v>0</v>
      </c>
    </row>
    <row r="1455" spans="1:15" ht="25.5">
      <c r="A1455" s="467">
        <v>10</v>
      </c>
      <c r="B1455" s="477" t="s">
        <v>1101</v>
      </c>
      <c r="C1455" s="467" t="s">
        <v>804</v>
      </c>
      <c r="D1455" s="457">
        <v>2</v>
      </c>
      <c r="E1455" s="458"/>
      <c r="F1455" s="458">
        <f t="shared" si="61"/>
        <v>0</v>
      </c>
      <c r="N1455" s="923">
        <f t="shared" si="62"/>
        <v>0</v>
      </c>
      <c r="O1455" s="923">
        <f t="shared" si="63"/>
        <v>0</v>
      </c>
    </row>
    <row r="1456" spans="1:15" ht="25.5">
      <c r="A1456" s="467">
        <v>11</v>
      </c>
      <c r="B1456" s="476" t="s">
        <v>1102</v>
      </c>
      <c r="C1456" s="467" t="s">
        <v>804</v>
      </c>
      <c r="D1456" s="457">
        <v>2</v>
      </c>
      <c r="E1456" s="458"/>
      <c r="F1456" s="458">
        <f t="shared" si="61"/>
        <v>0</v>
      </c>
      <c r="N1456" s="923">
        <f t="shared" si="62"/>
        <v>0</v>
      </c>
      <c r="O1456" s="923">
        <f t="shared" si="63"/>
        <v>0</v>
      </c>
    </row>
    <row r="1457" spans="1:15" ht="51">
      <c r="A1457" s="467">
        <v>12</v>
      </c>
      <c r="B1457" s="477" t="s">
        <v>1103</v>
      </c>
      <c r="C1457" s="467" t="s">
        <v>804</v>
      </c>
      <c r="D1457" s="457">
        <v>2</v>
      </c>
      <c r="E1457" s="458"/>
      <c r="F1457" s="458">
        <f t="shared" si="61"/>
        <v>0</v>
      </c>
      <c r="N1457" s="923">
        <f t="shared" si="62"/>
        <v>0</v>
      </c>
      <c r="O1457" s="923">
        <f t="shared" si="63"/>
        <v>0</v>
      </c>
    </row>
    <row r="1458" spans="1:15" ht="24" customHeight="1">
      <c r="A1458" s="1249">
        <v>13</v>
      </c>
      <c r="B1458" s="478" t="s">
        <v>1104</v>
      </c>
      <c r="C1458" s="470"/>
      <c r="D1458" s="459"/>
      <c r="E1458" s="460"/>
      <c r="F1458" s="460"/>
      <c r="N1458" s="633"/>
      <c r="O1458" s="923"/>
    </row>
    <row r="1459" spans="1:15" ht="11.25" customHeight="1">
      <c r="A1459" s="1251"/>
      <c r="B1459" s="479" t="s">
        <v>1105</v>
      </c>
      <c r="C1459" s="471" t="s">
        <v>1106</v>
      </c>
      <c r="D1459" s="455">
        <v>1</v>
      </c>
      <c r="E1459" s="456"/>
      <c r="F1459" s="456">
        <f>SUM(D1459*E1459)</f>
        <v>0</v>
      </c>
      <c r="N1459" s="923">
        <f>E1459*1.2</f>
        <v>0</v>
      </c>
      <c r="O1459" s="923">
        <f>N1459*D1459</f>
        <v>0</v>
      </c>
    </row>
    <row r="1460" spans="1:15" ht="36.75" customHeight="1">
      <c r="A1460" s="1249">
        <v>14</v>
      </c>
      <c r="B1460" s="478" t="s">
        <v>1107</v>
      </c>
      <c r="C1460" s="470"/>
      <c r="D1460" s="459"/>
      <c r="E1460" s="460"/>
      <c r="F1460" s="460"/>
      <c r="N1460" s="633"/>
      <c r="O1460" s="923"/>
    </row>
    <row r="1461" spans="1:15" ht="12.75">
      <c r="A1461" s="1250"/>
      <c r="B1461" s="479" t="s">
        <v>1108</v>
      </c>
      <c r="C1461" s="471" t="s">
        <v>1065</v>
      </c>
      <c r="D1461" s="455">
        <v>5</v>
      </c>
      <c r="E1461" s="456"/>
      <c r="F1461" s="456">
        <f>SUM(D1461*E1461)</f>
        <v>0</v>
      </c>
      <c r="N1461" s="923">
        <f>E1461*1.2</f>
        <v>0</v>
      </c>
      <c r="O1461" s="923">
        <f>N1461*D1461</f>
        <v>0</v>
      </c>
    </row>
    <row r="1462" spans="1:15" ht="12.75">
      <c r="A1462" s="1251"/>
      <c r="B1462" s="472" t="s">
        <v>1109</v>
      </c>
      <c r="C1462" s="472" t="s">
        <v>1065</v>
      </c>
      <c r="D1462" s="462">
        <v>6</v>
      </c>
      <c r="E1462" s="463"/>
      <c r="F1462" s="463">
        <f>SUM(D1462*E1462)</f>
        <v>0</v>
      </c>
      <c r="N1462" s="923">
        <f>E1462*1.2</f>
        <v>0</v>
      </c>
      <c r="O1462" s="923">
        <f>N1462*D1462</f>
        <v>0</v>
      </c>
    </row>
    <row r="1463" spans="1:15" ht="59.25" customHeight="1">
      <c r="A1463" s="447">
        <v>15</v>
      </c>
      <c r="B1463" s="480" t="s">
        <v>1110</v>
      </c>
      <c r="C1463" s="447"/>
      <c r="D1463" s="481">
        <v>0.6</v>
      </c>
      <c r="E1463" s="460"/>
      <c r="F1463" s="460">
        <f>SUM(D1463*E1463)</f>
        <v>0</v>
      </c>
      <c r="N1463" s="923">
        <f>E1463*1.2</f>
        <v>0</v>
      </c>
      <c r="O1463" s="923">
        <f>N1463*D1463</f>
        <v>0</v>
      </c>
    </row>
    <row r="1464" spans="1:15" ht="12.75">
      <c r="A1464" s="1243">
        <v>16</v>
      </c>
      <c r="B1464" s="482" t="s">
        <v>1111</v>
      </c>
      <c r="C1464" s="447"/>
      <c r="D1464" s="459"/>
      <c r="E1464" s="460"/>
      <c r="F1464" s="460"/>
      <c r="N1464" s="633"/>
      <c r="O1464" s="923"/>
    </row>
    <row r="1465" spans="1:15" ht="12.75">
      <c r="A1465" s="1245"/>
      <c r="B1465" s="483" t="s">
        <v>1112</v>
      </c>
      <c r="C1465" s="451" t="s">
        <v>804</v>
      </c>
      <c r="D1465" s="455">
        <v>6</v>
      </c>
      <c r="E1465" s="456"/>
      <c r="F1465" s="456">
        <f>SUM(D1465*E1465)</f>
        <v>0</v>
      </c>
      <c r="N1465" s="923">
        <f>E1465*1.2</f>
        <v>0</v>
      </c>
      <c r="O1465" s="923">
        <f>N1465*D1465</f>
        <v>0</v>
      </c>
    </row>
    <row r="1466" spans="1:15" ht="38.25">
      <c r="A1466" s="445">
        <v>17</v>
      </c>
      <c r="B1466" s="484" t="s">
        <v>1113</v>
      </c>
      <c r="C1466" s="445" t="s">
        <v>1065</v>
      </c>
      <c r="D1466" s="445">
        <v>20</v>
      </c>
      <c r="E1466" s="458"/>
      <c r="F1466" s="458">
        <f>SUM(D1466*E1466)</f>
        <v>0</v>
      </c>
      <c r="N1466" s="923">
        <f>E1466*1.2</f>
        <v>0</v>
      </c>
      <c r="O1466" s="923">
        <f>N1466*D1466</f>
        <v>0</v>
      </c>
    </row>
    <row r="1467" spans="1:15" ht="38.25">
      <c r="A1467" s="445">
        <v>18</v>
      </c>
      <c r="B1467" s="484" t="s">
        <v>1114</v>
      </c>
      <c r="C1467" s="445" t="s">
        <v>301</v>
      </c>
      <c r="D1467" s="445">
        <v>10</v>
      </c>
      <c r="E1467" s="458"/>
      <c r="F1467" s="458">
        <f>SUM(D1467*E1467)</f>
        <v>0</v>
      </c>
      <c r="N1467" s="923">
        <f>E1467*1.2</f>
        <v>0</v>
      </c>
      <c r="O1467" s="923">
        <f>N1467*D1467</f>
        <v>0</v>
      </c>
    </row>
    <row r="1468" spans="1:15" ht="16.5" customHeight="1">
      <c r="A1468" s="1016"/>
      <c r="B1468" s="1017" t="s">
        <v>1115</v>
      </c>
      <c r="C1468" s="1016"/>
      <c r="D1468" s="1016"/>
      <c r="E1468" s="1018"/>
      <c r="F1468" s="1019">
        <f>SUM(F1446:F1467)</f>
        <v>0</v>
      </c>
      <c r="G1468" s="989"/>
      <c r="H1468" s="989"/>
      <c r="I1468" s="989"/>
      <c r="J1468" s="989"/>
      <c r="K1468" s="989"/>
      <c r="L1468" s="989"/>
      <c r="M1468" s="989"/>
      <c r="N1468" s="990"/>
      <c r="O1468" s="1019">
        <f>SUM(O1446:O1467)</f>
        <v>0</v>
      </c>
    </row>
    <row r="1469" spans="1:15" ht="17.25" customHeight="1">
      <c r="A1469" s="488" t="s">
        <v>687</v>
      </c>
      <c r="B1469" s="489" t="s">
        <v>1116</v>
      </c>
      <c r="C1469" s="490"/>
      <c r="D1469" s="490"/>
      <c r="E1469" s="1187">
        <f>SUM(F1444)</f>
        <v>0</v>
      </c>
      <c r="F1469" s="1184"/>
      <c r="N1469" s="633"/>
      <c r="O1469" s="633">
        <f>O1444</f>
        <v>0</v>
      </c>
    </row>
    <row r="1470" spans="1:15" ht="14.25">
      <c r="A1470" s="488" t="s">
        <v>732</v>
      </c>
      <c r="B1470" s="489" t="s">
        <v>1117</v>
      </c>
      <c r="C1470" s="490"/>
      <c r="D1470" s="490"/>
      <c r="E1470" s="1187">
        <f>SUM(F1468)</f>
        <v>0</v>
      </c>
      <c r="F1470" s="1185"/>
      <c r="N1470" s="633"/>
      <c r="O1470" s="633">
        <f>O1468</f>
        <v>0</v>
      </c>
    </row>
    <row r="1471" spans="1:15" ht="15.75">
      <c r="A1471" s="1020"/>
      <c r="B1471" s="1020"/>
      <c r="C1471" s="1021" t="s">
        <v>1118</v>
      </c>
      <c r="D1471" s="1020"/>
      <c r="E1471" s="1188">
        <f>SUM(E1469:F1470)</f>
        <v>0</v>
      </c>
      <c r="F1471" s="1186"/>
      <c r="G1471" s="989"/>
      <c r="H1471" s="989"/>
      <c r="I1471" s="989"/>
      <c r="J1471" s="989"/>
      <c r="K1471" s="989"/>
      <c r="L1471" s="989"/>
      <c r="M1471" s="989"/>
      <c r="N1471" s="990"/>
      <c r="O1471" s="912">
        <f>SUM(O1469:O1470)</f>
        <v>0</v>
      </c>
    </row>
    <row r="1472" spans="1:15" s="436" customFormat="1" ht="29.25" customHeight="1">
      <c r="A1472" s="438"/>
      <c r="B1472" s="439"/>
      <c r="C1472" s="440"/>
      <c r="E1472" s="441"/>
      <c r="F1472" s="443"/>
      <c r="G1472" s="442"/>
      <c r="N1472" s="647"/>
      <c r="O1472" s="647"/>
    </row>
    <row r="1473" spans="1:15" ht="25.5">
      <c r="A1473" s="630" t="s">
        <v>38</v>
      </c>
      <c r="B1473" s="967" t="s">
        <v>39</v>
      </c>
      <c r="C1473" s="968" t="s">
        <v>40</v>
      </c>
      <c r="D1473" s="968" t="s">
        <v>41</v>
      </c>
      <c r="E1473" s="969" t="s">
        <v>1261</v>
      </c>
      <c r="F1473" s="969" t="s">
        <v>1262</v>
      </c>
      <c r="G1473" s="600"/>
      <c r="H1473" s="601"/>
      <c r="I1473" s="601"/>
      <c r="J1473" s="146"/>
      <c r="K1473" s="146"/>
      <c r="L1473" s="601"/>
      <c r="M1473" s="146"/>
      <c r="N1473" s="631" t="s">
        <v>1264</v>
      </c>
      <c r="O1473" s="631" t="s">
        <v>1263</v>
      </c>
    </row>
    <row r="1474" spans="1:15" ht="12.75">
      <c r="A1474" s="491" t="s">
        <v>824</v>
      </c>
      <c r="B1474" s="492" t="s">
        <v>1119</v>
      </c>
      <c r="C1474" s="491"/>
      <c r="D1474" s="491"/>
      <c r="E1474" s="493"/>
      <c r="F1474" s="494"/>
      <c r="N1474" s="633"/>
      <c r="O1474" s="633"/>
    </row>
    <row r="1475" spans="1:15" ht="48">
      <c r="A1475" s="495">
        <v>1</v>
      </c>
      <c r="B1475" s="496" t="s">
        <v>1120</v>
      </c>
      <c r="C1475" s="497"/>
      <c r="D1475" s="497"/>
      <c r="E1475" s="498"/>
      <c r="F1475" s="498"/>
      <c r="N1475" s="633"/>
      <c r="O1475" s="633"/>
    </row>
    <row r="1476" spans="1:15" ht="12.75">
      <c r="A1476" s="499"/>
      <c r="B1476" s="500" t="s">
        <v>1121</v>
      </c>
      <c r="C1476" s="499"/>
      <c r="D1476" s="499"/>
      <c r="E1476" s="501"/>
      <c r="F1476" s="501"/>
      <c r="N1476" s="633"/>
      <c r="O1476" s="633"/>
    </row>
    <row r="1477" spans="1:15" ht="12.75">
      <c r="A1477" s="491"/>
      <c r="B1477" s="502" t="s">
        <v>1122</v>
      </c>
      <c r="C1477" s="499"/>
      <c r="D1477" s="499"/>
      <c r="E1477" s="501"/>
      <c r="F1477" s="503"/>
      <c r="N1477" s="633"/>
      <c r="O1477" s="633"/>
    </row>
    <row r="1478" spans="1:15" ht="12.75">
      <c r="A1478" s="491"/>
      <c r="B1478" s="502" t="s">
        <v>1123</v>
      </c>
      <c r="C1478" s="499"/>
      <c r="D1478" s="499"/>
      <c r="E1478" s="501"/>
      <c r="F1478" s="503"/>
      <c r="N1478" s="633"/>
      <c r="O1478" s="633"/>
    </row>
    <row r="1479" spans="1:15" ht="12.75">
      <c r="A1479" s="491"/>
      <c r="B1479" s="502" t="s">
        <v>1124</v>
      </c>
      <c r="C1479" s="491"/>
      <c r="D1479" s="491"/>
      <c r="E1479" s="493"/>
      <c r="F1479" s="493"/>
      <c r="N1479" s="633"/>
      <c r="O1479" s="633"/>
    </row>
    <row r="1480" spans="1:15" ht="12.75">
      <c r="A1480" s="491"/>
      <c r="B1480" s="502" t="s">
        <v>1125</v>
      </c>
      <c r="C1480" s="491"/>
      <c r="D1480" s="491"/>
      <c r="E1480" s="493"/>
      <c r="F1480" s="493"/>
      <c r="N1480" s="633"/>
      <c r="O1480" s="633"/>
    </row>
    <row r="1481" spans="1:15" ht="12.75">
      <c r="A1481" s="491"/>
      <c r="B1481" s="502" t="s">
        <v>1126</v>
      </c>
      <c r="C1481" s="491"/>
      <c r="D1481" s="491"/>
      <c r="E1481" s="493"/>
      <c r="F1481" s="493"/>
      <c r="N1481" s="633"/>
      <c r="O1481" s="633"/>
    </row>
    <row r="1482" spans="1:15" ht="12.75">
      <c r="A1482" s="504"/>
      <c r="B1482" s="505" t="s">
        <v>1127</v>
      </c>
      <c r="C1482" s="506" t="s">
        <v>47</v>
      </c>
      <c r="D1482" s="506">
        <v>1</v>
      </c>
      <c r="E1482" s="507"/>
      <c r="F1482" s="507">
        <f>D1482*E1482</f>
        <v>0</v>
      </c>
      <c r="N1482" s="923">
        <f>E1482*1.2</f>
        <v>0</v>
      </c>
      <c r="O1482" s="923">
        <f>N1482*D1482</f>
        <v>0</v>
      </c>
    </row>
    <row r="1483" spans="1:15" ht="36">
      <c r="A1483" s="508">
        <v>2</v>
      </c>
      <c r="B1483" s="496" t="s">
        <v>1128</v>
      </c>
      <c r="C1483" s="499"/>
      <c r="D1483" s="499"/>
      <c r="E1483" s="501"/>
      <c r="F1483" s="501"/>
      <c r="N1483" s="633"/>
      <c r="O1483" s="633"/>
    </row>
    <row r="1484" spans="1:15" ht="12.75">
      <c r="A1484" s="509" t="s">
        <v>892</v>
      </c>
      <c r="B1484" s="510" t="s">
        <v>1129</v>
      </c>
      <c r="C1484" s="499"/>
      <c r="D1484" s="499"/>
      <c r="E1484" s="501"/>
      <c r="F1484" s="501"/>
      <c r="N1484" s="633"/>
      <c r="O1484" s="633"/>
    </row>
    <row r="1485" spans="1:15" ht="12.75">
      <c r="A1485" s="509"/>
      <c r="B1485" s="511" t="s">
        <v>1130</v>
      </c>
      <c r="C1485" s="499"/>
      <c r="D1485" s="499"/>
      <c r="E1485" s="501"/>
      <c r="F1485" s="501"/>
      <c r="N1485" s="633"/>
      <c r="O1485" s="633"/>
    </row>
    <row r="1486" spans="1:15" ht="12.75">
      <c r="A1486" s="509"/>
      <c r="B1486" s="511" t="s">
        <v>1131</v>
      </c>
      <c r="C1486" s="499"/>
      <c r="D1486" s="499"/>
      <c r="E1486" s="501"/>
      <c r="F1486" s="501"/>
      <c r="N1486" s="633"/>
      <c r="O1486" s="633"/>
    </row>
    <row r="1487" spans="1:15" ht="12.75">
      <c r="A1487" s="509"/>
      <c r="B1487" s="511" t="s">
        <v>1132</v>
      </c>
      <c r="C1487" s="499"/>
      <c r="D1487" s="499"/>
      <c r="E1487" s="501"/>
      <c r="F1487" s="501"/>
      <c r="N1487" s="633"/>
      <c r="O1487" s="633"/>
    </row>
    <row r="1488" spans="1:15" ht="12.75">
      <c r="A1488" s="509"/>
      <c r="B1488" s="511" t="s">
        <v>1133</v>
      </c>
      <c r="C1488" s="499"/>
      <c r="D1488" s="499"/>
      <c r="E1488" s="501"/>
      <c r="F1488" s="501"/>
      <c r="N1488" s="633"/>
      <c r="O1488" s="633"/>
    </row>
    <row r="1489" spans="1:15" ht="12.75">
      <c r="A1489" s="509"/>
      <c r="B1489" s="511" t="s">
        <v>1134</v>
      </c>
      <c r="C1489" s="499"/>
      <c r="D1489" s="499"/>
      <c r="E1489" s="501"/>
      <c r="F1489" s="501"/>
      <c r="N1489" s="633"/>
      <c r="O1489" s="633"/>
    </row>
    <row r="1490" spans="1:15" ht="12.75">
      <c r="A1490" s="509"/>
      <c r="B1490" s="511" t="s">
        <v>1135</v>
      </c>
      <c r="C1490" s="499" t="s">
        <v>47</v>
      </c>
      <c r="D1490" s="499">
        <v>7</v>
      </c>
      <c r="E1490" s="501"/>
      <c r="F1490" s="501">
        <f>D1490*E1490</f>
        <v>0</v>
      </c>
      <c r="N1490" s="923">
        <f>E1490*1.2</f>
        <v>0</v>
      </c>
      <c r="O1490" s="923">
        <f>N1490*D1490</f>
        <v>0</v>
      </c>
    </row>
    <row r="1491" spans="1:15" ht="12.75">
      <c r="A1491" s="509" t="s">
        <v>894</v>
      </c>
      <c r="B1491" s="510" t="s">
        <v>1136</v>
      </c>
      <c r="C1491" s="499"/>
      <c r="D1491" s="499"/>
      <c r="E1491" s="501"/>
      <c r="F1491" s="501"/>
      <c r="N1491" s="633"/>
      <c r="O1491" s="633"/>
    </row>
    <row r="1492" spans="1:15" ht="12.75">
      <c r="A1492" s="509"/>
      <c r="B1492" s="511" t="s">
        <v>1137</v>
      </c>
      <c r="C1492" s="499"/>
      <c r="D1492" s="499"/>
      <c r="E1492" s="501"/>
      <c r="F1492" s="501"/>
      <c r="N1492" s="633"/>
      <c r="O1492" s="633"/>
    </row>
    <row r="1493" spans="1:15" ht="12.75">
      <c r="A1493" s="509"/>
      <c r="B1493" s="511" t="s">
        <v>1138</v>
      </c>
      <c r="C1493" s="499"/>
      <c r="D1493" s="499"/>
      <c r="E1493" s="501"/>
      <c r="F1493" s="501"/>
      <c r="N1493" s="633"/>
      <c r="O1493" s="633"/>
    </row>
    <row r="1494" spans="1:15" ht="12.75">
      <c r="A1494" s="509"/>
      <c r="B1494" s="511" t="s">
        <v>1133</v>
      </c>
      <c r="C1494" s="499"/>
      <c r="D1494" s="499"/>
      <c r="E1494" s="501"/>
      <c r="F1494" s="501"/>
      <c r="N1494" s="633"/>
      <c r="O1494" s="633"/>
    </row>
    <row r="1495" spans="1:15" ht="12.75">
      <c r="A1495" s="509"/>
      <c r="B1495" s="511" t="s">
        <v>1134</v>
      </c>
      <c r="C1495" s="499"/>
      <c r="D1495" s="499"/>
      <c r="E1495" s="501"/>
      <c r="F1495" s="501"/>
      <c r="N1495" s="633"/>
      <c r="O1495" s="633"/>
    </row>
    <row r="1496" spans="1:15" ht="12.75">
      <c r="A1496" s="509"/>
      <c r="B1496" s="511" t="s">
        <v>1135</v>
      </c>
      <c r="C1496" s="499" t="s">
        <v>47</v>
      </c>
      <c r="D1496" s="499">
        <v>6</v>
      </c>
      <c r="E1496" s="501"/>
      <c r="F1496" s="501">
        <f>D1496*E1496</f>
        <v>0</v>
      </c>
      <c r="N1496" s="923">
        <f>E1496*1.2</f>
        <v>0</v>
      </c>
      <c r="O1496" s="923">
        <f>N1496*D1496</f>
        <v>0</v>
      </c>
    </row>
    <row r="1497" spans="1:15" ht="12.75">
      <c r="A1497" s="509" t="s">
        <v>896</v>
      </c>
      <c r="B1497" s="510" t="s">
        <v>1139</v>
      </c>
      <c r="C1497" s="499"/>
      <c r="D1497" s="499"/>
      <c r="E1497" s="501"/>
      <c r="F1497" s="501"/>
      <c r="N1497" s="633"/>
      <c r="O1497" s="633"/>
    </row>
    <row r="1498" spans="1:15" ht="12.75">
      <c r="A1498" s="509"/>
      <c r="B1498" s="511" t="s">
        <v>1140</v>
      </c>
      <c r="C1498" s="499"/>
      <c r="D1498" s="499"/>
      <c r="E1498" s="501"/>
      <c r="F1498" s="501"/>
      <c r="N1498" s="633"/>
      <c r="O1498" s="633"/>
    </row>
    <row r="1499" spans="1:15" ht="12.75">
      <c r="A1499" s="509"/>
      <c r="B1499" s="511" t="s">
        <v>1141</v>
      </c>
      <c r="C1499" s="499"/>
      <c r="D1499" s="499"/>
      <c r="E1499" s="501"/>
      <c r="F1499" s="501"/>
      <c r="N1499" s="633"/>
      <c r="O1499" s="633"/>
    </row>
    <row r="1500" spans="1:15" ht="12.75">
      <c r="A1500" s="509"/>
      <c r="B1500" s="511" t="s">
        <v>1133</v>
      </c>
      <c r="C1500" s="499"/>
      <c r="D1500" s="499"/>
      <c r="E1500" s="501"/>
      <c r="F1500" s="501"/>
      <c r="N1500" s="633"/>
      <c r="O1500" s="633"/>
    </row>
    <row r="1501" spans="1:15" ht="12.75">
      <c r="A1501" s="509"/>
      <c r="B1501" s="511" t="s">
        <v>1134</v>
      </c>
      <c r="C1501" s="499"/>
      <c r="D1501" s="499"/>
      <c r="E1501" s="501"/>
      <c r="F1501" s="501"/>
      <c r="N1501" s="633"/>
      <c r="O1501" s="633"/>
    </row>
    <row r="1502" spans="1:15" ht="12.75">
      <c r="A1502" s="509"/>
      <c r="B1502" s="511" t="s">
        <v>1135</v>
      </c>
      <c r="C1502" s="499" t="s">
        <v>804</v>
      </c>
      <c r="D1502" s="499">
        <v>1</v>
      </c>
      <c r="E1502" s="501"/>
      <c r="F1502" s="501">
        <f>D1502*E1502</f>
        <v>0</v>
      </c>
      <c r="N1502" s="923">
        <f>E1502*1.2</f>
        <v>0</v>
      </c>
      <c r="O1502" s="923">
        <f>N1502*D1502</f>
        <v>0</v>
      </c>
    </row>
    <row r="1503" spans="1:15" ht="36">
      <c r="A1503" s="512" t="s">
        <v>898</v>
      </c>
      <c r="B1503" s="513" t="s">
        <v>1142</v>
      </c>
      <c r="C1503" s="499" t="s">
        <v>47</v>
      </c>
      <c r="D1503" s="499">
        <v>14</v>
      </c>
      <c r="E1503" s="501"/>
      <c r="F1503" s="501">
        <f>D1503*E1503</f>
        <v>0</v>
      </c>
      <c r="N1503" s="923">
        <f>E1503*1.2</f>
        <v>0</v>
      </c>
      <c r="O1503" s="923">
        <f>N1503*D1503</f>
        <v>0</v>
      </c>
    </row>
    <row r="1504" spans="1:15" ht="36">
      <c r="A1504" s="512" t="s">
        <v>900</v>
      </c>
      <c r="B1504" s="514" t="s">
        <v>1143</v>
      </c>
      <c r="C1504" s="499" t="s">
        <v>47</v>
      </c>
      <c r="D1504" s="499">
        <v>14</v>
      </c>
      <c r="E1504" s="501"/>
      <c r="F1504" s="501">
        <f>D1504*E1504</f>
        <v>0</v>
      </c>
      <c r="N1504" s="923">
        <f>E1504*1.2</f>
        <v>0</v>
      </c>
      <c r="O1504" s="923">
        <f>N1504*D1504</f>
        <v>0</v>
      </c>
    </row>
    <row r="1505" spans="1:15" ht="36">
      <c r="A1505" s="495">
        <v>3</v>
      </c>
      <c r="B1505" s="496" t="s">
        <v>1144</v>
      </c>
      <c r="C1505" s="497"/>
      <c r="D1505" s="497"/>
      <c r="E1505" s="498"/>
      <c r="F1505" s="498"/>
      <c r="N1505" s="633"/>
      <c r="O1505" s="633"/>
    </row>
    <row r="1506" spans="1:15" ht="12.75">
      <c r="A1506" s="491"/>
      <c r="B1506" s="510" t="s">
        <v>1145</v>
      </c>
      <c r="C1506" s="499"/>
      <c r="D1506" s="499"/>
      <c r="E1506" s="501"/>
      <c r="F1506" s="501"/>
      <c r="N1506" s="633"/>
      <c r="O1506" s="633"/>
    </row>
    <row r="1507" spans="1:15" ht="12.75">
      <c r="A1507" s="509" t="s">
        <v>905</v>
      </c>
      <c r="B1507" s="511" t="s">
        <v>1137</v>
      </c>
      <c r="C1507" s="499"/>
      <c r="D1507" s="499"/>
      <c r="E1507" s="501"/>
      <c r="F1507" s="501"/>
      <c r="N1507" s="633"/>
      <c r="O1507" s="633"/>
    </row>
    <row r="1508" spans="1:15" ht="12.75">
      <c r="A1508" s="509"/>
      <c r="B1508" s="511" t="s">
        <v>1138</v>
      </c>
      <c r="C1508" s="499"/>
      <c r="D1508" s="499"/>
      <c r="E1508" s="501"/>
      <c r="F1508" s="501"/>
      <c r="N1508" s="633"/>
      <c r="O1508" s="633"/>
    </row>
    <row r="1509" spans="1:15" ht="12.75">
      <c r="A1509" s="509"/>
      <c r="B1509" s="511" t="s">
        <v>1146</v>
      </c>
      <c r="C1509" s="499"/>
      <c r="D1509" s="499"/>
      <c r="E1509" s="501"/>
      <c r="F1509" s="501"/>
      <c r="N1509" s="633"/>
      <c r="O1509" s="633"/>
    </row>
    <row r="1510" spans="1:15" ht="12.75">
      <c r="A1510" s="509"/>
      <c r="B1510" s="511" t="s">
        <v>1134</v>
      </c>
      <c r="C1510" s="499"/>
      <c r="D1510" s="499"/>
      <c r="E1510" s="501"/>
      <c r="F1510" s="501"/>
      <c r="N1510" s="633"/>
      <c r="O1510" s="633"/>
    </row>
    <row r="1511" spans="1:15" ht="12.75">
      <c r="A1511" s="509"/>
      <c r="B1511" s="511" t="s">
        <v>1147</v>
      </c>
      <c r="C1511" s="499"/>
      <c r="D1511" s="499"/>
      <c r="E1511" s="501"/>
      <c r="F1511" s="501"/>
      <c r="N1511" s="633"/>
      <c r="O1511" s="633"/>
    </row>
    <row r="1512" spans="1:15" ht="12.75">
      <c r="A1512" s="509"/>
      <c r="B1512" s="515" t="s">
        <v>1148</v>
      </c>
      <c r="C1512" s="499" t="s">
        <v>804</v>
      </c>
      <c r="D1512" s="499">
        <v>9</v>
      </c>
      <c r="E1512" s="501"/>
      <c r="F1512" s="501">
        <f>D1512*E1512</f>
        <v>0</v>
      </c>
      <c r="N1512" s="923">
        <f>E1512*1.2</f>
        <v>0</v>
      </c>
      <c r="O1512" s="923">
        <f>N1512*D1512</f>
        <v>0</v>
      </c>
    </row>
    <row r="1513" spans="1:15" ht="12.75">
      <c r="A1513" s="509" t="s">
        <v>908</v>
      </c>
      <c r="B1513" s="510" t="s">
        <v>1149</v>
      </c>
      <c r="C1513" s="499"/>
      <c r="D1513" s="499"/>
      <c r="E1513" s="501"/>
      <c r="F1513" s="501"/>
      <c r="N1513" s="633"/>
      <c r="O1513" s="633"/>
    </row>
    <row r="1514" spans="1:15" ht="12.75">
      <c r="A1514" s="491"/>
      <c r="B1514" s="511" t="s">
        <v>1150</v>
      </c>
      <c r="C1514" s="499"/>
      <c r="D1514" s="499"/>
      <c r="E1514" s="501"/>
      <c r="F1514" s="501"/>
      <c r="N1514" s="633"/>
      <c r="O1514" s="633"/>
    </row>
    <row r="1515" spans="1:15" ht="12.75">
      <c r="A1515" s="491"/>
      <c r="B1515" s="511" t="s">
        <v>1151</v>
      </c>
      <c r="C1515" s="499"/>
      <c r="D1515" s="499"/>
      <c r="E1515" s="501"/>
      <c r="F1515" s="501"/>
      <c r="N1515" s="633"/>
      <c r="O1515" s="633"/>
    </row>
    <row r="1516" spans="1:15" ht="12.75">
      <c r="A1516" s="491"/>
      <c r="B1516" s="511" t="s">
        <v>1146</v>
      </c>
      <c r="C1516" s="499"/>
      <c r="D1516" s="499"/>
      <c r="E1516" s="501"/>
      <c r="F1516" s="501"/>
      <c r="N1516" s="633"/>
      <c r="O1516" s="633"/>
    </row>
    <row r="1517" spans="1:15" ht="12.75">
      <c r="A1517" s="491"/>
      <c r="B1517" s="511" t="s">
        <v>1134</v>
      </c>
      <c r="C1517" s="499"/>
      <c r="D1517" s="499"/>
      <c r="E1517" s="501"/>
      <c r="F1517" s="501"/>
      <c r="N1517" s="633"/>
      <c r="O1517" s="633"/>
    </row>
    <row r="1518" spans="1:15" ht="12.75">
      <c r="A1518" s="491"/>
      <c r="B1518" s="511" t="s">
        <v>1147</v>
      </c>
      <c r="C1518" s="499"/>
      <c r="D1518" s="499"/>
      <c r="E1518" s="501"/>
      <c r="F1518" s="501"/>
      <c r="N1518" s="633"/>
      <c r="O1518" s="633"/>
    </row>
    <row r="1519" spans="1:15" ht="12.75">
      <c r="A1519" s="491"/>
      <c r="B1519" s="515" t="s">
        <v>1152</v>
      </c>
      <c r="C1519" s="499" t="s">
        <v>804</v>
      </c>
      <c r="D1519" s="499">
        <v>3</v>
      </c>
      <c r="E1519" s="501"/>
      <c r="F1519" s="501">
        <f>D1519*E1519</f>
        <v>0</v>
      </c>
      <c r="N1519" s="923">
        <f>E1519*1.2</f>
        <v>0</v>
      </c>
      <c r="O1519" s="923">
        <f>N1519*D1519</f>
        <v>0</v>
      </c>
    </row>
    <row r="1520" spans="1:15" ht="48">
      <c r="A1520" s="516">
        <v>4</v>
      </c>
      <c r="B1520" s="517" t="s">
        <v>1153</v>
      </c>
      <c r="C1520" s="518" t="s">
        <v>804</v>
      </c>
      <c r="D1520" s="518">
        <v>12</v>
      </c>
      <c r="E1520" s="519"/>
      <c r="F1520" s="519">
        <f>D1520*E1520</f>
        <v>0</v>
      </c>
      <c r="N1520" s="923">
        <f>E1520*1.2</f>
        <v>0</v>
      </c>
      <c r="O1520" s="923">
        <f>N1520*D1520</f>
        <v>0</v>
      </c>
    </row>
    <row r="1521" spans="1:15" ht="12.75">
      <c r="A1521" s="491">
        <v>5</v>
      </c>
      <c r="B1521" s="515" t="s">
        <v>1154</v>
      </c>
      <c r="C1521" s="499"/>
      <c r="D1521" s="499"/>
      <c r="E1521" s="501"/>
      <c r="F1521" s="501"/>
      <c r="N1521" s="633"/>
      <c r="O1521" s="633"/>
    </row>
    <row r="1522" spans="1:15" ht="12.75">
      <c r="A1522" s="491"/>
      <c r="B1522" s="515" t="s">
        <v>1155</v>
      </c>
      <c r="C1522" s="499"/>
      <c r="D1522" s="499"/>
      <c r="E1522" s="501"/>
      <c r="F1522" s="501"/>
      <c r="N1522" s="633"/>
      <c r="O1522" s="633"/>
    </row>
    <row r="1523" spans="1:15" ht="12.75">
      <c r="A1523" s="491"/>
      <c r="B1523" s="511" t="s">
        <v>1156</v>
      </c>
      <c r="C1523" s="499" t="s">
        <v>804</v>
      </c>
      <c r="D1523" s="499">
        <v>26</v>
      </c>
      <c r="E1523" s="501"/>
      <c r="F1523" s="501">
        <f>D1523*E1523</f>
        <v>0</v>
      </c>
      <c r="N1523" s="923">
        <f>E1523*1.2</f>
        <v>0</v>
      </c>
      <c r="O1523" s="923">
        <f>N1523*D1523</f>
        <v>0</v>
      </c>
    </row>
    <row r="1524" spans="1:15" ht="36">
      <c r="A1524" s="495">
        <v>6</v>
      </c>
      <c r="B1524" s="496" t="s">
        <v>1157</v>
      </c>
      <c r="C1524" s="497"/>
      <c r="D1524" s="497"/>
      <c r="E1524" s="498"/>
      <c r="F1524" s="498"/>
      <c r="N1524" s="633"/>
      <c r="O1524" s="633"/>
    </row>
    <row r="1525" spans="1:15" ht="12.75">
      <c r="A1525" s="491"/>
      <c r="B1525" s="510" t="s">
        <v>1158</v>
      </c>
      <c r="C1525" s="499" t="s">
        <v>804</v>
      </c>
      <c r="D1525" s="499">
        <v>46</v>
      </c>
      <c r="E1525" s="501"/>
      <c r="F1525" s="501">
        <f>D1525*E1525</f>
        <v>0</v>
      </c>
      <c r="N1525" s="923">
        <f>E1525*1.2</f>
        <v>0</v>
      </c>
      <c r="O1525" s="923">
        <f>N1525*D1525</f>
        <v>0</v>
      </c>
    </row>
    <row r="1526" spans="1:15" ht="12.75">
      <c r="A1526" s="491"/>
      <c r="B1526" s="510" t="s">
        <v>1159</v>
      </c>
      <c r="C1526" s="499" t="s">
        <v>804</v>
      </c>
      <c r="D1526" s="499">
        <v>4</v>
      </c>
      <c r="E1526" s="501"/>
      <c r="F1526" s="520">
        <f>D1526*E1526</f>
        <v>0</v>
      </c>
      <c r="N1526" s="923">
        <f>E1526*1.2</f>
        <v>0</v>
      </c>
      <c r="O1526" s="923">
        <f>N1526*D1526</f>
        <v>0</v>
      </c>
    </row>
    <row r="1527" spans="1:15" ht="36">
      <c r="A1527" s="521"/>
      <c r="B1527" s="496" t="s">
        <v>1160</v>
      </c>
      <c r="C1527" s="497"/>
      <c r="D1527" s="497"/>
      <c r="E1527" s="498"/>
      <c r="F1527" s="498"/>
      <c r="N1527" s="633"/>
      <c r="O1527" s="633"/>
    </row>
    <row r="1528" spans="1:15" ht="12.75">
      <c r="A1528" s="491"/>
      <c r="B1528" s="510" t="s">
        <v>1161</v>
      </c>
      <c r="C1528" s="499"/>
      <c r="D1528" s="499"/>
      <c r="E1528" s="501"/>
      <c r="F1528" s="501"/>
      <c r="N1528" s="633"/>
      <c r="O1528" s="633"/>
    </row>
    <row r="1529" spans="1:15" ht="12.75">
      <c r="A1529" s="491"/>
      <c r="B1529" s="511" t="s">
        <v>1162</v>
      </c>
      <c r="C1529" s="499"/>
      <c r="D1529" s="499"/>
      <c r="E1529" s="501"/>
      <c r="F1529" s="501"/>
      <c r="N1529" s="633"/>
      <c r="O1529" s="633"/>
    </row>
    <row r="1530" spans="1:15" ht="12.75">
      <c r="A1530" s="491"/>
      <c r="B1530" s="511" t="s">
        <v>1163</v>
      </c>
      <c r="C1530" s="499"/>
      <c r="D1530" s="499"/>
      <c r="E1530" s="501"/>
      <c r="F1530" s="501"/>
      <c r="N1530" s="633"/>
      <c r="O1530" s="633"/>
    </row>
    <row r="1531" spans="1:15" ht="12.75">
      <c r="A1531" s="491"/>
      <c r="B1531" s="511" t="s">
        <v>1134</v>
      </c>
      <c r="C1531" s="499"/>
      <c r="D1531" s="499"/>
      <c r="E1531" s="501"/>
      <c r="F1531" s="501"/>
      <c r="N1531" s="633"/>
      <c r="O1531" s="633"/>
    </row>
    <row r="1532" spans="1:15" ht="12.75">
      <c r="A1532" s="491"/>
      <c r="B1532" s="511" t="s">
        <v>1164</v>
      </c>
      <c r="C1532" s="499"/>
      <c r="D1532" s="499"/>
      <c r="E1532" s="501"/>
      <c r="F1532" s="501"/>
      <c r="N1532" s="633"/>
      <c r="O1532" s="633"/>
    </row>
    <row r="1533" spans="1:15" ht="12.75">
      <c r="A1533" s="491"/>
      <c r="B1533" s="511" t="s">
        <v>1165</v>
      </c>
      <c r="C1533" s="499" t="s">
        <v>1106</v>
      </c>
      <c r="D1533" s="499">
        <v>1</v>
      </c>
      <c r="E1533" s="501"/>
      <c r="F1533" s="501">
        <f>D1533*E1533</f>
        <v>0</v>
      </c>
      <c r="N1533" s="923">
        <f>E1533*1.2</f>
        <v>0</v>
      </c>
      <c r="O1533" s="923">
        <f>N1533*D1533</f>
        <v>0</v>
      </c>
    </row>
    <row r="1534" spans="1:15" ht="12.75">
      <c r="A1534" s="521">
        <v>7</v>
      </c>
      <c r="B1534" s="522" t="s">
        <v>1166</v>
      </c>
      <c r="C1534" s="497"/>
      <c r="D1534" s="497"/>
      <c r="E1534" s="498"/>
      <c r="F1534" s="498"/>
      <c r="N1534" s="633"/>
      <c r="O1534" s="633"/>
    </row>
    <row r="1535" spans="1:15" ht="12.75">
      <c r="A1535" s="491"/>
      <c r="B1535" s="513" t="s">
        <v>1167</v>
      </c>
      <c r="C1535" s="499"/>
      <c r="D1535" s="499"/>
      <c r="E1535" s="501"/>
      <c r="F1535" s="501"/>
      <c r="N1535" s="633"/>
      <c r="O1535" s="633"/>
    </row>
    <row r="1536" spans="1:15" ht="12.75">
      <c r="A1536" s="523"/>
      <c r="B1536" s="524" t="s">
        <v>1168</v>
      </c>
      <c r="C1536" s="525" t="s">
        <v>1065</v>
      </c>
      <c r="D1536" s="525">
        <v>20</v>
      </c>
      <c r="E1536" s="526"/>
      <c r="F1536" s="503">
        <f aca="true" t="shared" si="64" ref="F1536:F1541">D1536*E1536</f>
        <v>0</v>
      </c>
      <c r="N1536" s="923">
        <f aca="true" t="shared" si="65" ref="N1536:N1541">E1536*1.2</f>
        <v>0</v>
      </c>
      <c r="O1536" s="923">
        <f aca="true" t="shared" si="66" ref="O1536:O1541">N1536*D1536</f>
        <v>0</v>
      </c>
    </row>
    <row r="1537" spans="1:15" ht="12.75">
      <c r="A1537" s="523"/>
      <c r="B1537" s="524" t="s">
        <v>1169</v>
      </c>
      <c r="C1537" s="525" t="s">
        <v>1065</v>
      </c>
      <c r="D1537" s="525">
        <v>30</v>
      </c>
      <c r="E1537" s="526"/>
      <c r="F1537" s="503">
        <f t="shared" si="64"/>
        <v>0</v>
      </c>
      <c r="N1537" s="923">
        <f t="shared" si="65"/>
        <v>0</v>
      </c>
      <c r="O1537" s="923">
        <f t="shared" si="66"/>
        <v>0</v>
      </c>
    </row>
    <row r="1538" spans="1:15" ht="12.75">
      <c r="A1538" s="523"/>
      <c r="B1538" s="524" t="s">
        <v>1170</v>
      </c>
      <c r="C1538" s="525" t="s">
        <v>1065</v>
      </c>
      <c r="D1538" s="525">
        <v>40</v>
      </c>
      <c r="E1538" s="526"/>
      <c r="F1538" s="503">
        <f t="shared" si="64"/>
        <v>0</v>
      </c>
      <c r="N1538" s="923">
        <f t="shared" si="65"/>
        <v>0</v>
      </c>
      <c r="O1538" s="923">
        <f t="shared" si="66"/>
        <v>0</v>
      </c>
    </row>
    <row r="1539" spans="1:15" ht="12.75">
      <c r="A1539" s="523"/>
      <c r="B1539" s="524" t="s">
        <v>1171</v>
      </c>
      <c r="C1539" s="525" t="s">
        <v>1065</v>
      </c>
      <c r="D1539" s="525">
        <v>90</v>
      </c>
      <c r="E1539" s="526"/>
      <c r="F1539" s="503">
        <f t="shared" si="64"/>
        <v>0</v>
      </c>
      <c r="N1539" s="923">
        <f t="shared" si="65"/>
        <v>0</v>
      </c>
      <c r="O1539" s="923">
        <f t="shared" si="66"/>
        <v>0</v>
      </c>
    </row>
    <row r="1540" spans="1:15" ht="12.75">
      <c r="A1540" s="523"/>
      <c r="B1540" s="524" t="s">
        <v>1172</v>
      </c>
      <c r="C1540" s="525" t="s">
        <v>1065</v>
      </c>
      <c r="D1540" s="525">
        <v>100</v>
      </c>
      <c r="E1540" s="526"/>
      <c r="F1540" s="503">
        <f t="shared" si="64"/>
        <v>0</v>
      </c>
      <c r="N1540" s="923">
        <f t="shared" si="65"/>
        <v>0</v>
      </c>
      <c r="O1540" s="923">
        <f t="shared" si="66"/>
        <v>0</v>
      </c>
    </row>
    <row r="1541" spans="1:15" ht="12.75">
      <c r="A1541" s="523"/>
      <c r="B1541" s="524" t="s">
        <v>1173</v>
      </c>
      <c r="C1541" s="525" t="s">
        <v>1065</v>
      </c>
      <c r="D1541" s="525">
        <v>80</v>
      </c>
      <c r="E1541" s="526"/>
      <c r="F1541" s="503">
        <f t="shared" si="64"/>
        <v>0</v>
      </c>
      <c r="N1541" s="923">
        <f t="shared" si="65"/>
        <v>0</v>
      </c>
      <c r="O1541" s="923">
        <f t="shared" si="66"/>
        <v>0</v>
      </c>
    </row>
    <row r="1542" spans="1:15" ht="12.75">
      <c r="A1542" s="521">
        <v>8</v>
      </c>
      <c r="B1542" s="527" t="s">
        <v>1174</v>
      </c>
      <c r="C1542" s="528"/>
      <c r="D1542" s="528"/>
      <c r="E1542" s="529"/>
      <c r="F1542" s="530"/>
      <c r="N1542" s="633"/>
      <c r="O1542" s="633"/>
    </row>
    <row r="1543" spans="1:15" ht="12.75">
      <c r="A1543" s="523"/>
      <c r="B1543" s="531" t="s">
        <v>1175</v>
      </c>
      <c r="C1543" s="525"/>
      <c r="D1543" s="525"/>
      <c r="E1543" s="526"/>
      <c r="F1543" s="503"/>
      <c r="N1543" s="633"/>
      <c r="O1543" s="633"/>
    </row>
    <row r="1544" spans="1:15" ht="12.75">
      <c r="A1544" s="523"/>
      <c r="B1544" s="531" t="s">
        <v>1176</v>
      </c>
      <c r="C1544" s="525"/>
      <c r="D1544" s="525"/>
      <c r="E1544" s="526"/>
      <c r="F1544" s="503"/>
      <c r="N1544" s="633"/>
      <c r="O1544" s="633"/>
    </row>
    <row r="1545" spans="1:15" ht="12.75">
      <c r="A1545" s="523"/>
      <c r="B1545" s="531" t="s">
        <v>1177</v>
      </c>
      <c r="C1545" s="525"/>
      <c r="D1545" s="525"/>
      <c r="E1545" s="526"/>
      <c r="F1545" s="503"/>
      <c r="N1545" s="633"/>
      <c r="O1545" s="633"/>
    </row>
    <row r="1546" spans="1:15" ht="12.75">
      <c r="A1546" s="523"/>
      <c r="B1546" s="531" t="s">
        <v>1178</v>
      </c>
      <c r="C1546" s="525" t="s">
        <v>1179</v>
      </c>
      <c r="D1546" s="525">
        <v>0.4</v>
      </c>
      <c r="E1546" s="526"/>
      <c r="F1546" s="503">
        <f>D1546*E1546</f>
        <v>0</v>
      </c>
      <c r="N1546" s="923">
        <f>E1546*1.2</f>
        <v>0</v>
      </c>
      <c r="O1546" s="923">
        <f>N1546*D1546</f>
        <v>0</v>
      </c>
    </row>
    <row r="1547" spans="1:15" ht="24">
      <c r="A1547" s="532">
        <v>9</v>
      </c>
      <c r="B1547" s="496" t="s">
        <v>1180</v>
      </c>
      <c r="C1547" s="528"/>
      <c r="D1547" s="528"/>
      <c r="E1547" s="530"/>
      <c r="F1547" s="530"/>
      <c r="N1547" s="633"/>
      <c r="O1547" s="633"/>
    </row>
    <row r="1548" spans="1:15" ht="12.75">
      <c r="A1548" s="523"/>
      <c r="B1548" s="513" t="s">
        <v>1167</v>
      </c>
      <c r="C1548" s="525"/>
      <c r="D1548" s="525"/>
      <c r="E1548" s="503"/>
      <c r="F1548" s="503"/>
      <c r="N1548" s="633"/>
      <c r="O1548" s="633"/>
    </row>
    <row r="1549" spans="1:15" ht="12.75">
      <c r="A1549" s="523"/>
      <c r="B1549" s="524" t="s">
        <v>1168</v>
      </c>
      <c r="C1549" s="525" t="s">
        <v>1065</v>
      </c>
      <c r="D1549" s="525">
        <v>20</v>
      </c>
      <c r="E1549" s="503"/>
      <c r="F1549" s="503">
        <f aca="true" t="shared" si="67" ref="F1549:F1554">D1549*E1549</f>
        <v>0</v>
      </c>
      <c r="N1549" s="923">
        <f aca="true" t="shared" si="68" ref="N1549:N1554">E1549*1.2</f>
        <v>0</v>
      </c>
      <c r="O1549" s="923">
        <f aca="true" t="shared" si="69" ref="O1549:O1554">N1549*D1549</f>
        <v>0</v>
      </c>
    </row>
    <row r="1550" spans="1:15" ht="12.75">
      <c r="A1550" s="523"/>
      <c r="B1550" s="524" t="s">
        <v>1169</v>
      </c>
      <c r="C1550" s="525" t="s">
        <v>1065</v>
      </c>
      <c r="D1550" s="525">
        <v>30</v>
      </c>
      <c r="E1550" s="503"/>
      <c r="F1550" s="503">
        <f t="shared" si="67"/>
        <v>0</v>
      </c>
      <c r="N1550" s="923">
        <f t="shared" si="68"/>
        <v>0</v>
      </c>
      <c r="O1550" s="923">
        <f t="shared" si="69"/>
        <v>0</v>
      </c>
    </row>
    <row r="1551" spans="1:15" ht="12.75">
      <c r="A1551" s="523"/>
      <c r="B1551" s="524" t="s">
        <v>1170</v>
      </c>
      <c r="C1551" s="525" t="s">
        <v>1065</v>
      </c>
      <c r="D1551" s="525">
        <v>40</v>
      </c>
      <c r="E1551" s="503"/>
      <c r="F1551" s="503">
        <f t="shared" si="67"/>
        <v>0</v>
      </c>
      <c r="N1551" s="923">
        <f t="shared" si="68"/>
        <v>0</v>
      </c>
      <c r="O1551" s="923">
        <f t="shared" si="69"/>
        <v>0</v>
      </c>
    </row>
    <row r="1552" spans="1:15" ht="12.75">
      <c r="A1552" s="523"/>
      <c r="B1552" s="524" t="s">
        <v>1171</v>
      </c>
      <c r="C1552" s="525" t="s">
        <v>1065</v>
      </c>
      <c r="D1552" s="525">
        <v>90</v>
      </c>
      <c r="E1552" s="503"/>
      <c r="F1552" s="503">
        <f t="shared" si="67"/>
        <v>0</v>
      </c>
      <c r="N1552" s="923">
        <f t="shared" si="68"/>
        <v>0</v>
      </c>
      <c r="O1552" s="923">
        <f t="shared" si="69"/>
        <v>0</v>
      </c>
    </row>
    <row r="1553" spans="1:15" ht="12.75">
      <c r="A1553" s="523"/>
      <c r="B1553" s="524" t="s">
        <v>1172</v>
      </c>
      <c r="C1553" s="525" t="s">
        <v>1065</v>
      </c>
      <c r="D1553" s="525">
        <v>100</v>
      </c>
      <c r="E1553" s="503"/>
      <c r="F1553" s="503">
        <f t="shared" si="67"/>
        <v>0</v>
      </c>
      <c r="N1553" s="923">
        <f t="shared" si="68"/>
        <v>0</v>
      </c>
      <c r="O1553" s="923">
        <f t="shared" si="69"/>
        <v>0</v>
      </c>
    </row>
    <row r="1554" spans="1:15" ht="12.75">
      <c r="A1554" s="523"/>
      <c r="B1554" s="524" t="s">
        <v>1173</v>
      </c>
      <c r="C1554" s="525" t="s">
        <v>1065</v>
      </c>
      <c r="D1554" s="525">
        <v>80</v>
      </c>
      <c r="E1554" s="503"/>
      <c r="F1554" s="503">
        <f t="shared" si="67"/>
        <v>0</v>
      </c>
      <c r="N1554" s="923">
        <f t="shared" si="68"/>
        <v>0</v>
      </c>
      <c r="O1554" s="923">
        <f t="shared" si="69"/>
        <v>0</v>
      </c>
    </row>
    <row r="1555" spans="1:15" ht="36">
      <c r="A1555" s="533">
        <v>10</v>
      </c>
      <c r="B1555" s="496" t="s">
        <v>1181</v>
      </c>
      <c r="C1555" s="528"/>
      <c r="D1555" s="528"/>
      <c r="E1555" s="530"/>
      <c r="F1555" s="530"/>
      <c r="N1555" s="633"/>
      <c r="O1555" s="633"/>
    </row>
    <row r="1556" spans="1:15" ht="12.75">
      <c r="A1556" s="534"/>
      <c r="B1556" s="535" t="s">
        <v>1182</v>
      </c>
      <c r="C1556" s="525" t="s">
        <v>1183</v>
      </c>
      <c r="D1556" s="525">
        <v>320</v>
      </c>
      <c r="E1556" s="503"/>
      <c r="F1556" s="503">
        <f>D1556*E1556</f>
        <v>0</v>
      </c>
      <c r="N1556" s="923">
        <f>E1556*1.2</f>
        <v>0</v>
      </c>
      <c r="O1556" s="923">
        <f>N1556*D1556</f>
        <v>0</v>
      </c>
    </row>
    <row r="1557" spans="1:15" ht="36">
      <c r="A1557" s="536">
        <v>11</v>
      </c>
      <c r="B1557" s="517" t="s">
        <v>1184</v>
      </c>
      <c r="C1557" s="537"/>
      <c r="D1557" s="537"/>
      <c r="E1557" s="538"/>
      <c r="F1557" s="538"/>
      <c r="N1557" s="633"/>
      <c r="O1557" s="633"/>
    </row>
    <row r="1558" spans="1:15" ht="12.75">
      <c r="A1558" s="1217">
        <v>12</v>
      </c>
      <c r="B1558" s="539" t="s">
        <v>1185</v>
      </c>
      <c r="C1558" s="497" t="s">
        <v>1065</v>
      </c>
      <c r="D1558" s="497">
        <v>70</v>
      </c>
      <c r="E1558" s="498"/>
      <c r="F1558" s="540">
        <f>D1558*E1558</f>
        <v>0</v>
      </c>
      <c r="N1558" s="923">
        <f>E1558*1.2</f>
        <v>0</v>
      </c>
      <c r="O1558" s="923">
        <f>N1558*D1558</f>
        <v>0</v>
      </c>
    </row>
    <row r="1559" spans="1:15" ht="12.75">
      <c r="A1559" s="1218"/>
      <c r="B1559" s="541" t="s">
        <v>1186</v>
      </c>
      <c r="C1559" s="499" t="s">
        <v>1065</v>
      </c>
      <c r="D1559" s="499">
        <v>100</v>
      </c>
      <c r="E1559" s="501"/>
      <c r="F1559" s="520">
        <f>D1559*E1559</f>
        <v>0</v>
      </c>
      <c r="N1559" s="923">
        <f>E1559*1.2</f>
        <v>0</v>
      </c>
      <c r="O1559" s="923">
        <f>N1559*D1559</f>
        <v>0</v>
      </c>
    </row>
    <row r="1560" spans="1:15" ht="12.75">
      <c r="A1560" s="1219"/>
      <c r="B1560" s="543" t="s">
        <v>1187</v>
      </c>
      <c r="C1560" s="506" t="s">
        <v>1065</v>
      </c>
      <c r="D1560" s="506">
        <v>30</v>
      </c>
      <c r="E1560" s="507"/>
      <c r="F1560" s="544">
        <f>D1560*E1560</f>
        <v>0</v>
      </c>
      <c r="N1560" s="923">
        <f>E1560*1.2</f>
        <v>0</v>
      </c>
      <c r="O1560" s="923">
        <f>N1560*D1560</f>
        <v>0</v>
      </c>
    </row>
    <row r="1561" spans="1:15" ht="24">
      <c r="A1561" s="542">
        <v>13</v>
      </c>
      <c r="B1561" s="545" t="s">
        <v>1188</v>
      </c>
      <c r="C1561" s="506" t="s">
        <v>758</v>
      </c>
      <c r="D1561" s="506">
        <v>1</v>
      </c>
      <c r="E1561" s="507"/>
      <c r="F1561" s="544">
        <f>D1561*E1561</f>
        <v>0</v>
      </c>
      <c r="N1561" s="923">
        <f>E1561*1.2</f>
        <v>0</v>
      </c>
      <c r="O1561" s="923">
        <f>N1561*D1561</f>
        <v>0</v>
      </c>
    </row>
    <row r="1562" spans="1:15" ht="24">
      <c r="A1562" s="546">
        <v>14</v>
      </c>
      <c r="B1562" s="517" t="s">
        <v>1189</v>
      </c>
      <c r="C1562" s="518" t="s">
        <v>758</v>
      </c>
      <c r="D1562" s="518">
        <v>1</v>
      </c>
      <c r="E1562" s="547"/>
      <c r="F1562" s="547">
        <f>D1562*E1562</f>
        <v>0</v>
      </c>
      <c r="N1562" s="923">
        <f>E1562*1.2</f>
        <v>0</v>
      </c>
      <c r="O1562" s="923">
        <f>N1562*D1562</f>
        <v>0</v>
      </c>
    </row>
    <row r="1563" spans="1:15" ht="12.75">
      <c r="A1563" s="1031"/>
      <c r="B1563" s="1032"/>
      <c r="C1563" s="1022" t="s">
        <v>43</v>
      </c>
      <c r="D1563" s="1023" t="s">
        <v>1190</v>
      </c>
      <c r="E1563" s="1024"/>
      <c r="F1563" s="1024">
        <f>SUM(F1477:F1562)</f>
        <v>0</v>
      </c>
      <c r="G1563" s="989"/>
      <c r="H1563" s="989"/>
      <c r="I1563" s="989"/>
      <c r="J1563" s="989"/>
      <c r="K1563" s="989"/>
      <c r="L1563" s="989"/>
      <c r="M1563" s="989"/>
      <c r="N1563" s="990"/>
      <c r="O1563" s="1024">
        <f>SUM(O1477:O1562)</f>
        <v>0</v>
      </c>
    </row>
    <row r="1564" spans="1:15" ht="12.75">
      <c r="A1564" s="548"/>
      <c r="E1564" s="304"/>
      <c r="F1564" s="304"/>
      <c r="N1564" s="633"/>
      <c r="O1564" s="633"/>
    </row>
    <row r="1565" spans="1:15" ht="12.75">
      <c r="A1565" s="1026"/>
      <c r="B1565" s="1027" t="s">
        <v>1191</v>
      </c>
      <c r="C1565" s="1028"/>
      <c r="D1565" s="1028"/>
      <c r="E1565" s="1029"/>
      <c r="F1565" s="1030">
        <f>SUM(F1563)</f>
        <v>0</v>
      </c>
      <c r="G1565" s="989"/>
      <c r="H1565" s="989"/>
      <c r="I1565" s="989"/>
      <c r="J1565" s="989"/>
      <c r="K1565" s="989"/>
      <c r="L1565" s="989"/>
      <c r="M1565" s="989"/>
      <c r="N1565" s="990"/>
      <c r="O1565" s="1025">
        <f>SUM(O1563)</f>
        <v>0</v>
      </c>
    </row>
    <row r="1566" spans="1:15" s="436" customFormat="1" ht="29.25" customHeight="1">
      <c r="A1566" s="630" t="s">
        <v>38</v>
      </c>
      <c r="B1566" s="967" t="s">
        <v>39</v>
      </c>
      <c r="C1566" s="968" t="s">
        <v>40</v>
      </c>
      <c r="D1566" s="968" t="s">
        <v>41</v>
      </c>
      <c r="E1566" s="969" t="s">
        <v>1261</v>
      </c>
      <c r="F1566" s="969" t="s">
        <v>1262</v>
      </c>
      <c r="G1566" s="600"/>
      <c r="H1566" s="601"/>
      <c r="I1566" s="601"/>
      <c r="J1566" s="146"/>
      <c r="K1566" s="146"/>
      <c r="L1566" s="601"/>
      <c r="M1566" s="146"/>
      <c r="N1566" s="631" t="s">
        <v>1264</v>
      </c>
      <c r="O1566" s="631" t="s">
        <v>1263</v>
      </c>
    </row>
    <row r="1567" spans="1:15" ht="24.75" customHeight="1">
      <c r="A1567" s="444" t="s">
        <v>1047</v>
      </c>
      <c r="B1567" s="445"/>
      <c r="C1567" s="444" t="s">
        <v>1048</v>
      </c>
      <c r="D1567" s="444" t="s">
        <v>750</v>
      </c>
      <c r="E1567" s="444"/>
      <c r="F1567" s="444"/>
      <c r="N1567" s="633"/>
      <c r="O1567" s="633"/>
    </row>
    <row r="1568" spans="1:15" ht="16.5" customHeight="1">
      <c r="A1568" s="446" t="s">
        <v>1192</v>
      </c>
      <c r="B1568" s="475" t="s">
        <v>1193</v>
      </c>
      <c r="C1568" s="445"/>
      <c r="D1568" s="445"/>
      <c r="E1568" s="486"/>
      <c r="F1568" s="487"/>
      <c r="N1568" s="633"/>
      <c r="O1568" s="633"/>
    </row>
    <row r="1569" spans="1:15" ht="25.5">
      <c r="A1569" s="445">
        <v>1</v>
      </c>
      <c r="B1569" s="477" t="s">
        <v>1194</v>
      </c>
      <c r="C1569" s="484" t="s">
        <v>804</v>
      </c>
      <c r="D1569" s="445">
        <v>8</v>
      </c>
      <c r="E1569" s="458"/>
      <c r="F1569" s="458">
        <f aca="true" t="shared" si="70" ref="F1569:F1574">SUM(D1569*E1569)</f>
        <v>0</v>
      </c>
      <c r="N1569" s="923">
        <f aca="true" t="shared" si="71" ref="N1569:N1574">E1569*1.2</f>
        <v>0</v>
      </c>
      <c r="O1569" s="923">
        <f aca="true" t="shared" si="72" ref="O1569:O1574">N1569*D1569</f>
        <v>0</v>
      </c>
    </row>
    <row r="1570" spans="1:15" ht="36.75" customHeight="1">
      <c r="A1570" s="445">
        <v>2</v>
      </c>
      <c r="B1570" s="477" t="s">
        <v>1195</v>
      </c>
      <c r="C1570" s="484" t="s">
        <v>804</v>
      </c>
      <c r="D1570" s="445">
        <v>3</v>
      </c>
      <c r="E1570" s="458"/>
      <c r="F1570" s="458">
        <f t="shared" si="70"/>
        <v>0</v>
      </c>
      <c r="N1570" s="923">
        <f t="shared" si="71"/>
        <v>0</v>
      </c>
      <c r="O1570" s="923">
        <f t="shared" si="72"/>
        <v>0</v>
      </c>
    </row>
    <row r="1571" spans="1:15" ht="30.75" customHeight="1">
      <c r="A1571" s="445">
        <v>3</v>
      </c>
      <c r="B1571" s="477" t="s">
        <v>1196</v>
      </c>
      <c r="C1571" s="484" t="s">
        <v>1065</v>
      </c>
      <c r="D1571" s="445">
        <v>10</v>
      </c>
      <c r="E1571" s="458"/>
      <c r="F1571" s="458">
        <f t="shared" si="70"/>
        <v>0</v>
      </c>
      <c r="N1571" s="923">
        <f t="shared" si="71"/>
        <v>0</v>
      </c>
      <c r="O1571" s="923">
        <f t="shared" si="72"/>
        <v>0</v>
      </c>
    </row>
    <row r="1572" spans="1:15" ht="27.75" customHeight="1">
      <c r="A1572" s="445">
        <v>4</v>
      </c>
      <c r="B1572" s="477" t="s">
        <v>1197</v>
      </c>
      <c r="C1572" s="484" t="s">
        <v>804</v>
      </c>
      <c r="D1572" s="445">
        <v>1</v>
      </c>
      <c r="E1572" s="458"/>
      <c r="F1572" s="458">
        <f t="shared" si="70"/>
        <v>0</v>
      </c>
      <c r="N1572" s="923">
        <f t="shared" si="71"/>
        <v>0</v>
      </c>
      <c r="O1572" s="923">
        <f t="shared" si="72"/>
        <v>0</v>
      </c>
    </row>
    <row r="1573" spans="1:15" ht="27.75" customHeight="1">
      <c r="A1573" s="445">
        <v>5</v>
      </c>
      <c r="B1573" s="477" t="s">
        <v>1198</v>
      </c>
      <c r="C1573" s="484" t="s">
        <v>804</v>
      </c>
      <c r="D1573" s="445">
        <v>2</v>
      </c>
      <c r="E1573" s="458"/>
      <c r="F1573" s="458">
        <f t="shared" si="70"/>
        <v>0</v>
      </c>
      <c r="N1573" s="923">
        <f t="shared" si="71"/>
        <v>0</v>
      </c>
      <c r="O1573" s="923">
        <f t="shared" si="72"/>
        <v>0</v>
      </c>
    </row>
    <row r="1574" spans="1:15" ht="27.75" customHeight="1">
      <c r="A1574" s="445">
        <v>6</v>
      </c>
      <c r="B1574" s="477" t="s">
        <v>1199</v>
      </c>
      <c r="C1574" s="445"/>
      <c r="D1574" s="445">
        <v>2</v>
      </c>
      <c r="E1574" s="458"/>
      <c r="F1574" s="458">
        <f t="shared" si="70"/>
        <v>0</v>
      </c>
      <c r="N1574" s="923">
        <f t="shared" si="71"/>
        <v>0</v>
      </c>
      <c r="O1574" s="923">
        <f t="shared" si="72"/>
        <v>0</v>
      </c>
    </row>
    <row r="1575" spans="1:15" ht="23.25" customHeight="1">
      <c r="A1575" s="447">
        <v>7</v>
      </c>
      <c r="B1575" s="549" t="s">
        <v>1200</v>
      </c>
      <c r="C1575" s="447"/>
      <c r="D1575" s="447"/>
      <c r="E1575" s="460"/>
      <c r="F1575" s="460"/>
      <c r="N1575" s="633"/>
      <c r="O1575" s="633"/>
    </row>
    <row r="1576" spans="1:15" ht="15" customHeight="1">
      <c r="A1576" s="451"/>
      <c r="B1576" s="550" t="s">
        <v>1201</v>
      </c>
      <c r="C1576" s="451" t="s">
        <v>47</v>
      </c>
      <c r="D1576" s="451">
        <v>7</v>
      </c>
      <c r="E1576" s="456"/>
      <c r="F1576" s="456">
        <f>SUM(D1576*E1576)</f>
        <v>0</v>
      </c>
      <c r="N1576" s="923">
        <f>E1576*1.2</f>
        <v>0</v>
      </c>
      <c r="O1576" s="923">
        <f>N1576*D1576</f>
        <v>0</v>
      </c>
    </row>
    <row r="1577" spans="1:15" ht="14.25" customHeight="1">
      <c r="A1577" s="451"/>
      <c r="B1577" s="550" t="s">
        <v>1202</v>
      </c>
      <c r="C1577" s="451" t="s">
        <v>47</v>
      </c>
      <c r="D1577" s="451">
        <v>2</v>
      </c>
      <c r="E1577" s="456"/>
      <c r="F1577" s="456">
        <f>SUM(D1577*E1577)</f>
        <v>0</v>
      </c>
      <c r="N1577" s="923">
        <f>E1577*1.2</f>
        <v>0</v>
      </c>
      <c r="O1577" s="923">
        <f>N1577*D1577</f>
        <v>0</v>
      </c>
    </row>
    <row r="1578" spans="1:15" ht="14.25" customHeight="1">
      <c r="A1578" s="461"/>
      <c r="B1578" s="551" t="s">
        <v>1203</v>
      </c>
      <c r="C1578" s="461" t="s">
        <v>47</v>
      </c>
      <c r="D1578" s="461">
        <v>2</v>
      </c>
      <c r="E1578" s="463"/>
      <c r="F1578" s="463">
        <f>SUM(D1578*E1578)</f>
        <v>0</v>
      </c>
      <c r="N1578" s="923">
        <f>E1578*1.2</f>
        <v>0</v>
      </c>
      <c r="O1578" s="923">
        <f>N1578*D1578</f>
        <v>0</v>
      </c>
    </row>
    <row r="1579" spans="1:15" ht="16.5" customHeight="1">
      <c r="A1579" s="445"/>
      <c r="B1579" s="485" t="s">
        <v>1115</v>
      </c>
      <c r="C1579" s="445"/>
      <c r="D1579" s="445"/>
      <c r="E1579" s="486"/>
      <c r="F1579" s="1033">
        <f>SUM(F1569:F1578)</f>
        <v>0</v>
      </c>
      <c r="N1579" s="633"/>
      <c r="O1579" s="487">
        <f>SUM(O1569:O1578)</f>
        <v>0</v>
      </c>
    </row>
    <row r="1580" spans="1:15" ht="15.75">
      <c r="A1580" s="1034" t="s">
        <v>1192</v>
      </c>
      <c r="B1580" s="1035" t="s">
        <v>1204</v>
      </c>
      <c r="C1580" s="1020"/>
      <c r="D1580" s="1020"/>
      <c r="E1580" s="1115"/>
      <c r="F1580" s="1115">
        <f>F1579</f>
        <v>0</v>
      </c>
      <c r="G1580" s="989"/>
      <c r="H1580" s="989"/>
      <c r="I1580" s="989"/>
      <c r="J1580" s="989"/>
      <c r="K1580" s="989"/>
      <c r="L1580" s="989"/>
      <c r="M1580" s="989"/>
      <c r="N1580" s="990"/>
      <c r="O1580" s="912">
        <f>O1579</f>
        <v>0</v>
      </c>
    </row>
    <row r="1581" spans="1:15" ht="14.25">
      <c r="A1581" s="552"/>
      <c r="B1581" s="553"/>
      <c r="C1581" s="554"/>
      <c r="D1581" s="554"/>
      <c r="E1581" s="555"/>
      <c r="F1581" s="555"/>
      <c r="N1581" s="633"/>
      <c r="O1581" s="633"/>
    </row>
    <row r="1582" spans="1:15" ht="14.25">
      <c r="A1582" s="552"/>
      <c r="B1582" s="553" t="s">
        <v>156</v>
      </c>
      <c r="C1582" s="554"/>
      <c r="D1582" s="554"/>
      <c r="E1582" s="555"/>
      <c r="F1582" s="555"/>
      <c r="N1582" s="633"/>
      <c r="O1582" s="633"/>
    </row>
    <row r="1583" spans="1:15" ht="14.25">
      <c r="A1583" s="552"/>
      <c r="B1583" s="553"/>
      <c r="C1583" s="554"/>
      <c r="D1583" s="554"/>
      <c r="E1583" s="555"/>
      <c r="F1583" s="555"/>
      <c r="N1583" s="633"/>
      <c r="O1583" s="633"/>
    </row>
    <row r="1584" spans="1:15" ht="15">
      <c r="A1584" s="488" t="s">
        <v>823</v>
      </c>
      <c r="B1584" s="489" t="s">
        <v>1049</v>
      </c>
      <c r="C1584" s="490"/>
      <c r="D1584" s="490"/>
      <c r="E1584" s="1116">
        <f>E1471</f>
        <v>0</v>
      </c>
      <c r="F1584" s="1116"/>
      <c r="N1584" s="633"/>
      <c r="O1584" s="633">
        <f>O1471</f>
        <v>0</v>
      </c>
    </row>
    <row r="1585" spans="1:15" ht="15">
      <c r="A1585" s="488" t="s">
        <v>824</v>
      </c>
      <c r="B1585" s="489" t="s">
        <v>1205</v>
      </c>
      <c r="C1585" s="490"/>
      <c r="D1585" s="490"/>
      <c r="E1585" s="1116">
        <f>F1563</f>
        <v>0</v>
      </c>
      <c r="F1585" s="1116"/>
      <c r="N1585" s="633"/>
      <c r="O1585" s="633">
        <f>O1563</f>
        <v>0</v>
      </c>
    </row>
    <row r="1586" spans="1:15" ht="14.25">
      <c r="A1586" s="488" t="s">
        <v>1192</v>
      </c>
      <c r="B1586" s="489" t="s">
        <v>1204</v>
      </c>
      <c r="C1586" s="490"/>
      <c r="D1586" s="490"/>
      <c r="E1586" s="1117">
        <f>F1580</f>
        <v>0</v>
      </c>
      <c r="F1586" s="1117"/>
      <c r="N1586" s="633"/>
      <c r="O1586" s="633">
        <f>O1580</f>
        <v>0</v>
      </c>
    </row>
    <row r="1587" spans="1:15" ht="15">
      <c r="A1587" s="488"/>
      <c r="B1587" s="489" t="s">
        <v>43</v>
      </c>
      <c r="C1587" s="490"/>
      <c r="D1587" s="490"/>
      <c r="E1587" s="1117">
        <f>SUM(E1584:F1586)</f>
        <v>0</v>
      </c>
      <c r="F1587" s="1117"/>
      <c r="N1587" s="633"/>
      <c r="O1587" s="1036">
        <f>SUM(O1584:O1586)</f>
        <v>0</v>
      </c>
    </row>
    <row r="1588" spans="1:15" ht="14.25">
      <c r="A1588" s="552"/>
      <c r="B1588" s="553"/>
      <c r="C1588" s="554"/>
      <c r="D1588" s="554"/>
      <c r="E1588" s="556"/>
      <c r="F1588" s="556"/>
      <c r="N1588" s="633"/>
      <c r="O1588" s="633"/>
    </row>
    <row r="1589" spans="1:15" ht="14.25">
      <c r="A1589" s="552"/>
      <c r="B1589" s="553"/>
      <c r="C1589" s="554"/>
      <c r="D1589" s="554"/>
      <c r="E1589" s="556"/>
      <c r="F1589" s="556"/>
      <c r="N1589" s="633"/>
      <c r="O1589" s="633"/>
    </row>
    <row r="1590" spans="1:15" ht="30" customHeight="1">
      <c r="A1590" s="1196" t="s">
        <v>1250</v>
      </c>
      <c r="B1590" s="1196"/>
      <c r="C1590" s="1196"/>
      <c r="D1590" s="1196"/>
      <c r="E1590" s="1196"/>
      <c r="F1590" s="1109"/>
      <c r="G1590" s="38" t="s">
        <v>1219</v>
      </c>
      <c r="H1590" s="38">
        <v>122</v>
      </c>
      <c r="N1590" s="89"/>
      <c r="O1590" s="89"/>
    </row>
    <row r="1591" spans="1:15" ht="15.75">
      <c r="A1591" s="621">
        <v>1</v>
      </c>
      <c r="B1591" s="622" t="s">
        <v>184</v>
      </c>
      <c r="C1591" s="623"/>
      <c r="D1591" s="624"/>
      <c r="E1591" s="625"/>
      <c r="F1591" s="626"/>
      <c r="G1591" s="1037"/>
      <c r="H1591" s="620"/>
      <c r="I1591" s="620"/>
      <c r="J1591" s="609"/>
      <c r="K1591" s="609"/>
      <c r="L1591" s="609"/>
      <c r="M1591" s="609"/>
      <c r="N1591" s="615"/>
      <c r="O1591" s="615"/>
    </row>
    <row r="1592" spans="1:15" ht="25.5">
      <c r="A1592" s="630" t="s">
        <v>38</v>
      </c>
      <c r="B1592" s="967" t="s">
        <v>39</v>
      </c>
      <c r="C1592" s="968" t="s">
        <v>40</v>
      </c>
      <c r="D1592" s="968" t="s">
        <v>41</v>
      </c>
      <c r="E1592" s="969" t="s">
        <v>1261</v>
      </c>
      <c r="F1592" s="969" t="s">
        <v>1262</v>
      </c>
      <c r="G1592" s="600"/>
      <c r="H1592" s="601"/>
      <c r="I1592" s="601"/>
      <c r="J1592" s="146"/>
      <c r="K1592" s="146"/>
      <c r="L1592" s="601"/>
      <c r="M1592" s="146"/>
      <c r="N1592" s="631" t="s">
        <v>1264</v>
      </c>
      <c r="O1592" s="631" t="s">
        <v>1263</v>
      </c>
    </row>
    <row r="1593" spans="1:15" ht="79.5" customHeight="1">
      <c r="A1593" s="580"/>
      <c r="B1593" s="1214" t="s">
        <v>54</v>
      </c>
      <c r="C1593" s="1215"/>
      <c r="D1593" s="1215"/>
      <c r="E1593" s="1216"/>
      <c r="F1593" s="1112"/>
      <c r="G1593" s="26"/>
      <c r="H1593" s="39"/>
      <c r="I1593" s="39"/>
      <c r="N1593" s="89"/>
      <c r="O1593" s="89"/>
    </row>
    <row r="1594" spans="1:15" ht="173.25" customHeight="1">
      <c r="A1594" s="60"/>
      <c r="B1594" s="1204" t="s">
        <v>55</v>
      </c>
      <c r="C1594" s="1205"/>
      <c r="D1594" s="1205"/>
      <c r="E1594" s="1206"/>
      <c r="F1594" s="1113"/>
      <c r="G1594" s="26"/>
      <c r="H1594" s="39"/>
      <c r="I1594" s="39"/>
      <c r="N1594" s="89"/>
      <c r="O1594" s="89"/>
    </row>
    <row r="1595" spans="1:15" ht="88.5" customHeight="1">
      <c r="A1595" s="8"/>
      <c r="B1595" s="1190" t="s">
        <v>56</v>
      </c>
      <c r="C1595" s="1191"/>
      <c r="D1595" s="1191"/>
      <c r="E1595" s="1192"/>
      <c r="F1595" s="1102"/>
      <c r="G1595" s="26"/>
      <c r="H1595" s="39"/>
      <c r="I1595" s="39"/>
      <c r="N1595" s="89"/>
      <c r="O1595" s="89"/>
    </row>
    <row r="1596" spans="1:15" ht="25.5">
      <c r="A1596" s="62">
        <v>1.01</v>
      </c>
      <c r="B1596" s="581" t="s">
        <v>1220</v>
      </c>
      <c r="C1596" s="582" t="s">
        <v>45</v>
      </c>
      <c r="D1596" s="7">
        <f>633</f>
        <v>633</v>
      </c>
      <c r="E1596" s="69"/>
      <c r="F1596" s="82">
        <f>D1596*E1596</f>
        <v>0</v>
      </c>
      <c r="G1596" s="167">
        <v>0.5</v>
      </c>
      <c r="H1596" s="39"/>
      <c r="I1596" s="39"/>
      <c r="N1596" s="981">
        <f>E1596*1.2</f>
        <v>0</v>
      </c>
      <c r="O1596" s="981">
        <f>N1596*D1596</f>
        <v>0</v>
      </c>
    </row>
    <row r="1597" spans="1:15" ht="89.25">
      <c r="A1597" s="8">
        <v>1.02</v>
      </c>
      <c r="B1597" s="581" t="s">
        <v>1221</v>
      </c>
      <c r="C1597" s="6" t="s">
        <v>45</v>
      </c>
      <c r="D1597" s="7">
        <f>121.5+14.3+25+38</f>
        <v>198.8</v>
      </c>
      <c r="E1597" s="69"/>
      <c r="F1597" s="82">
        <f>D1597*E1597</f>
        <v>0</v>
      </c>
      <c r="G1597" s="167">
        <v>1</v>
      </c>
      <c r="H1597" s="39"/>
      <c r="I1597" s="39"/>
      <c r="N1597" s="981">
        <f>E1597*1.2</f>
        <v>0</v>
      </c>
      <c r="O1597" s="981">
        <f>N1597*D1597</f>
        <v>0</v>
      </c>
    </row>
    <row r="1598" spans="1:15" ht="63.75">
      <c r="A1598" s="8">
        <v>1.03</v>
      </c>
      <c r="B1598" s="63" t="s">
        <v>1222</v>
      </c>
      <c r="C1598" s="6" t="s">
        <v>45</v>
      </c>
      <c r="D1598" s="125"/>
      <c r="E1598" s="125"/>
      <c r="F1598" s="125"/>
      <c r="H1598" s="39"/>
      <c r="I1598" s="39"/>
      <c r="N1598" s="923"/>
      <c r="O1598" s="89"/>
    </row>
    <row r="1599" spans="1:15" ht="12.75">
      <c r="A1599" s="8"/>
      <c r="B1599" s="63" t="s">
        <v>1223</v>
      </c>
      <c r="C1599" s="6"/>
      <c r="D1599" s="125">
        <f>0.4*7.65</f>
        <v>3.0600000000000005</v>
      </c>
      <c r="E1599" s="125"/>
      <c r="F1599" s="125"/>
      <c r="H1599" s="39"/>
      <c r="I1599" s="39"/>
      <c r="N1599" s="89"/>
      <c r="O1599" s="89"/>
    </row>
    <row r="1600" spans="1:15" ht="12.75">
      <c r="A1600" s="8"/>
      <c r="B1600" s="85" t="s">
        <v>1224</v>
      </c>
      <c r="C1600" s="6"/>
      <c r="D1600" s="268">
        <f>14+98+64.6+14.3+25+38</f>
        <v>253.9</v>
      </c>
      <c r="E1600" s="69"/>
      <c r="F1600" s="82"/>
      <c r="G1600" s="51"/>
      <c r="H1600" s="39"/>
      <c r="I1600" s="39"/>
      <c r="N1600" s="89"/>
      <c r="O1600" s="89"/>
    </row>
    <row r="1601" spans="1:15" ht="12.75">
      <c r="A1601" s="8"/>
      <c r="B1601" s="85" t="s">
        <v>53</v>
      </c>
      <c r="C1601" s="6"/>
      <c r="D1601" s="268">
        <f>SUM(D1599:D1600)</f>
        <v>256.96</v>
      </c>
      <c r="E1601" s="69"/>
      <c r="F1601" s="82">
        <f>D1601*E1601</f>
        <v>0</v>
      </c>
      <c r="G1601" s="51">
        <v>2.5</v>
      </c>
      <c r="H1601" s="39"/>
      <c r="I1601" s="39"/>
      <c r="N1601" s="923">
        <f>E1601*1.2</f>
        <v>0</v>
      </c>
      <c r="O1601" s="923">
        <f>N1601*D1601</f>
        <v>0</v>
      </c>
    </row>
    <row r="1602" spans="1:15" ht="12.75">
      <c r="A1602" s="8"/>
      <c r="B1602" s="85"/>
      <c r="C1602" s="6"/>
      <c r="D1602" s="7"/>
      <c r="E1602" s="69"/>
      <c r="F1602" s="7"/>
      <c r="G1602" s="167"/>
      <c r="H1602" s="39"/>
      <c r="I1602" s="39"/>
      <c r="N1602" s="89"/>
      <c r="O1602" s="89"/>
    </row>
    <row r="1603" spans="1:15" ht="242.25">
      <c r="A1603" s="8">
        <v>1.04</v>
      </c>
      <c r="B1603" s="85" t="s">
        <v>1225</v>
      </c>
      <c r="C1603" s="6" t="s">
        <v>45</v>
      </c>
      <c r="D1603" s="7">
        <f>122</f>
        <v>122</v>
      </c>
      <c r="E1603" s="69"/>
      <c r="F1603" s="82">
        <f>D1603*E1603</f>
        <v>0</v>
      </c>
      <c r="G1603" s="51">
        <v>1.5</v>
      </c>
      <c r="H1603" s="39"/>
      <c r="I1603" s="39"/>
      <c r="N1603" s="981">
        <f>E1603*1.2</f>
        <v>0</v>
      </c>
      <c r="O1603" s="981">
        <f>N1603*D1603</f>
        <v>0</v>
      </c>
    </row>
    <row r="1604" spans="1:15" ht="12.75">
      <c r="A1604" s="8"/>
      <c r="B1604" s="85"/>
      <c r="C1604" s="6"/>
      <c r="D1604" s="7"/>
      <c r="E1604" s="69"/>
      <c r="F1604" s="82"/>
      <c r="G1604" s="51"/>
      <c r="H1604" s="39"/>
      <c r="I1604" s="39"/>
      <c r="N1604" s="89"/>
      <c r="O1604" s="89"/>
    </row>
    <row r="1605" spans="1:15" ht="127.5">
      <c r="A1605" s="8">
        <v>1.05</v>
      </c>
      <c r="B1605" s="85" t="s">
        <v>1226</v>
      </c>
      <c r="C1605" s="6"/>
      <c r="D1605" s="7"/>
      <c r="E1605" s="69"/>
      <c r="F1605" s="82"/>
      <c r="G1605" s="51"/>
      <c r="H1605" s="39"/>
      <c r="I1605" s="39"/>
      <c r="N1605" s="89"/>
      <c r="O1605" s="89"/>
    </row>
    <row r="1606" spans="1:15" ht="12.75">
      <c r="A1606" s="8"/>
      <c r="B1606" s="85"/>
      <c r="C1606" s="6" t="s">
        <v>47</v>
      </c>
      <c r="D1606" s="7">
        <v>1</v>
      </c>
      <c r="E1606" s="69"/>
      <c r="F1606" s="82">
        <f>D1606*E1606</f>
        <v>0</v>
      </c>
      <c r="G1606" s="51">
        <v>10</v>
      </c>
      <c r="H1606" s="39"/>
      <c r="I1606" s="39"/>
      <c r="N1606" s="923">
        <f>E1606*1.2</f>
        <v>0</v>
      </c>
      <c r="O1606" s="923">
        <f>N1606*D1606</f>
        <v>0</v>
      </c>
    </row>
    <row r="1607" spans="1:15" ht="12.75">
      <c r="A1607" s="8"/>
      <c r="B1607" s="85"/>
      <c r="C1607" s="6"/>
      <c r="D1607" s="7"/>
      <c r="E1607" s="69"/>
      <c r="F1607" s="82"/>
      <c r="G1607" s="51"/>
      <c r="H1607" s="39"/>
      <c r="I1607" s="39"/>
      <c r="N1607" s="89"/>
      <c r="O1607" s="89"/>
    </row>
    <row r="1608" spans="1:15" ht="15.75">
      <c r="A1608" s="610">
        <v>1</v>
      </c>
      <c r="B1608" s="611" t="s">
        <v>184</v>
      </c>
      <c r="C1608" s="617"/>
      <c r="D1608" s="618"/>
      <c r="E1608" s="612" t="s">
        <v>61</v>
      </c>
      <c r="F1608" s="612">
        <f>SUM(F1596:F1606)</f>
        <v>0</v>
      </c>
      <c r="G1608" s="620"/>
      <c r="H1608" s="620"/>
      <c r="I1608" s="620"/>
      <c r="J1608" s="609"/>
      <c r="K1608" s="609"/>
      <c r="L1608" s="609"/>
      <c r="M1608" s="609"/>
      <c r="N1608" s="615"/>
      <c r="O1608" s="612">
        <f>SUM(O1596:O1606)</f>
        <v>0</v>
      </c>
    </row>
    <row r="1609" spans="1:15" ht="12.75">
      <c r="A1609" s="31"/>
      <c r="B1609" s="32"/>
      <c r="C1609" s="26"/>
      <c r="D1609" s="27"/>
      <c r="E1609" s="33"/>
      <c r="F1609" s="33"/>
      <c r="G1609" s="39"/>
      <c r="H1609" s="39"/>
      <c r="I1609" s="39"/>
      <c r="N1609" s="89"/>
      <c r="O1609" s="89"/>
    </row>
    <row r="1610" spans="1:15" ht="12.75">
      <c r="A1610" s="31"/>
      <c r="B1610" s="32"/>
      <c r="C1610" s="26"/>
      <c r="D1610" s="27"/>
      <c r="E1610" s="33"/>
      <c r="F1610" s="33"/>
      <c r="G1610" s="39"/>
      <c r="H1610" s="39"/>
      <c r="I1610" s="39"/>
      <c r="N1610" s="89"/>
      <c r="O1610" s="89"/>
    </row>
    <row r="1611" spans="1:15" ht="15.75">
      <c r="A1611" s="621">
        <v>2</v>
      </c>
      <c r="B1611" s="622" t="s">
        <v>1227</v>
      </c>
      <c r="C1611" s="623"/>
      <c r="D1611" s="624"/>
      <c r="E1611" s="625"/>
      <c r="F1611" s="626"/>
      <c r="G1611" s="620"/>
      <c r="H1611" s="620"/>
      <c r="I1611" s="620"/>
      <c r="J1611" s="609"/>
      <c r="K1611" s="609"/>
      <c r="L1611" s="609"/>
      <c r="M1611" s="609"/>
      <c r="N1611" s="615"/>
      <c r="O1611" s="615"/>
    </row>
    <row r="1612" spans="1:15" ht="25.5">
      <c r="A1612" s="630" t="s">
        <v>38</v>
      </c>
      <c r="B1612" s="967" t="s">
        <v>39</v>
      </c>
      <c r="C1612" s="968" t="s">
        <v>40</v>
      </c>
      <c r="D1612" s="968" t="s">
        <v>41</v>
      </c>
      <c r="E1612" s="969" t="s">
        <v>1261</v>
      </c>
      <c r="F1612" s="969" t="s">
        <v>1262</v>
      </c>
      <c r="G1612" s="600"/>
      <c r="H1612" s="601"/>
      <c r="I1612" s="601"/>
      <c r="J1612" s="146"/>
      <c r="K1612" s="146"/>
      <c r="L1612" s="601"/>
      <c r="M1612" s="146"/>
      <c r="N1612" s="631" t="s">
        <v>1264</v>
      </c>
      <c r="O1612" s="631" t="s">
        <v>1263</v>
      </c>
    </row>
    <row r="1613" spans="1:15" ht="196.5" customHeight="1">
      <c r="A1613" s="8"/>
      <c r="B1613" s="1190" t="s">
        <v>72</v>
      </c>
      <c r="C1613" s="1191"/>
      <c r="D1613" s="1191"/>
      <c r="E1613" s="1192"/>
      <c r="F1613" s="1104"/>
      <c r="G1613" s="51"/>
      <c r="H1613" s="39"/>
      <c r="I1613" s="39"/>
      <c r="N1613" s="89"/>
      <c r="O1613" s="89"/>
    </row>
    <row r="1614" spans="1:15" ht="42.75" customHeight="1">
      <c r="A1614" s="8"/>
      <c r="B1614" s="1190" t="s">
        <v>73</v>
      </c>
      <c r="C1614" s="1191"/>
      <c r="D1614" s="1191"/>
      <c r="E1614" s="1192"/>
      <c r="F1614" s="1104"/>
      <c r="G1614" s="51"/>
      <c r="H1614" s="39"/>
      <c r="I1614" s="39"/>
      <c r="N1614" s="89"/>
      <c r="O1614" s="89"/>
    </row>
    <row r="1615" spans="1:15" ht="120.75" customHeight="1">
      <c r="A1615" s="49"/>
      <c r="B1615" s="1190" t="s">
        <v>74</v>
      </c>
      <c r="C1615" s="1191"/>
      <c r="D1615" s="1191"/>
      <c r="E1615" s="1192"/>
      <c r="F1615" s="1102"/>
      <c r="G1615" s="51"/>
      <c r="H1615" s="39"/>
      <c r="I1615" s="39"/>
      <c r="N1615" s="89"/>
      <c r="O1615" s="89"/>
    </row>
    <row r="1616" spans="1:15" ht="42.75" customHeight="1">
      <c r="A1616" s="49"/>
      <c r="B1616" s="1190" t="s">
        <v>75</v>
      </c>
      <c r="C1616" s="1191"/>
      <c r="D1616" s="1191"/>
      <c r="E1616" s="1192"/>
      <c r="F1616" s="1101"/>
      <c r="G1616" s="51"/>
      <c r="H1616" s="39"/>
      <c r="I1616" s="39"/>
      <c r="N1616" s="89"/>
      <c r="O1616" s="89"/>
    </row>
    <row r="1617" spans="1:15" ht="76.5">
      <c r="A1617" s="8">
        <v>2.01</v>
      </c>
      <c r="B1617" s="85" t="s">
        <v>1228</v>
      </c>
      <c r="C1617" s="74"/>
      <c r="D1617" s="268"/>
      <c r="E1617" s="69"/>
      <c r="F1617" s="82"/>
      <c r="H1617" s="39"/>
      <c r="I1617" s="39"/>
      <c r="N1617" s="89"/>
      <c r="O1617" s="89"/>
    </row>
    <row r="1618" spans="1:15" ht="12.75">
      <c r="A1618" s="8"/>
      <c r="B1618" s="85"/>
      <c r="C1618" s="74" t="s">
        <v>57</v>
      </c>
      <c r="D1618" s="268">
        <f>0.12*7.65</f>
        <v>0.918</v>
      </c>
      <c r="E1618" s="69"/>
      <c r="F1618" s="82">
        <f>D1618*E1618</f>
        <v>0</v>
      </c>
      <c r="G1618" s="51">
        <v>85</v>
      </c>
      <c r="H1618" s="39"/>
      <c r="I1618" s="39"/>
      <c r="N1618" s="981">
        <f>E1618*1.2</f>
        <v>0</v>
      </c>
      <c r="O1618" s="981">
        <f>N1618*D1618</f>
        <v>0</v>
      </c>
    </row>
    <row r="1619" spans="1:15" ht="89.25">
      <c r="A1619" s="8">
        <v>2.02</v>
      </c>
      <c r="B1619" s="85" t="s">
        <v>1229</v>
      </c>
      <c r="C1619" s="74"/>
      <c r="D1619" s="268"/>
      <c r="E1619" s="69"/>
      <c r="F1619" s="82"/>
      <c r="G1619" s="51"/>
      <c r="H1619" s="39"/>
      <c r="I1619" s="39"/>
      <c r="N1619" s="89"/>
      <c r="O1619" s="89"/>
    </row>
    <row r="1620" spans="1:15" ht="12.75">
      <c r="A1620" s="8"/>
      <c r="B1620" s="583" t="s">
        <v>1230</v>
      </c>
      <c r="C1620" s="74" t="s">
        <v>45</v>
      </c>
      <c r="D1620" s="268">
        <v>14</v>
      </c>
      <c r="E1620" s="69"/>
      <c r="F1620" s="82"/>
      <c r="G1620" s="51"/>
      <c r="H1620" s="39"/>
      <c r="I1620" s="39"/>
      <c r="N1620" s="89"/>
      <c r="O1620" s="89"/>
    </row>
    <row r="1621" spans="1:15" ht="12.75">
      <c r="A1621" s="8"/>
      <c r="B1621" s="583" t="s">
        <v>1231</v>
      </c>
      <c r="C1621" s="74" t="s">
        <v>45</v>
      </c>
      <c r="D1621" s="268">
        <v>98</v>
      </c>
      <c r="E1621" s="69"/>
      <c r="F1621" s="82"/>
      <c r="G1621" s="51"/>
      <c r="H1621" s="39"/>
      <c r="I1621" s="39"/>
      <c r="N1621" s="89"/>
      <c r="O1621" s="89"/>
    </row>
    <row r="1622" spans="1:15" ht="12.75">
      <c r="A1622" s="8"/>
      <c r="B1622" s="583" t="s">
        <v>1232</v>
      </c>
      <c r="C1622" s="74" t="s">
        <v>45</v>
      </c>
      <c r="D1622" s="268">
        <f>64.6+14.3+25+38</f>
        <v>141.89999999999998</v>
      </c>
      <c r="E1622" s="69"/>
      <c r="F1622" s="82"/>
      <c r="G1622" s="51"/>
      <c r="H1622" s="39"/>
      <c r="I1622" s="39"/>
      <c r="N1622" s="89"/>
      <c r="O1622" s="89"/>
    </row>
    <row r="1623" spans="1:15" ht="12.75">
      <c r="A1623" s="8"/>
      <c r="B1623" s="584" t="s">
        <v>43</v>
      </c>
      <c r="C1623" s="74" t="s">
        <v>45</v>
      </c>
      <c r="D1623" s="268">
        <f>D1620+D1621+D1622</f>
        <v>253.89999999999998</v>
      </c>
      <c r="E1623" s="69"/>
      <c r="F1623" s="82">
        <f>D1623*E1623</f>
        <v>0</v>
      </c>
      <c r="G1623" s="51">
        <v>15</v>
      </c>
      <c r="H1623" s="39"/>
      <c r="I1623" s="39"/>
      <c r="N1623" s="981">
        <f>E1623*1.2</f>
        <v>0</v>
      </c>
      <c r="O1623" s="981">
        <f>N1623*D1623</f>
        <v>0</v>
      </c>
    </row>
    <row r="1624" spans="1:15" ht="51">
      <c r="A1624" s="8">
        <v>2.03</v>
      </c>
      <c r="B1624" s="585" t="s">
        <v>1233</v>
      </c>
      <c r="C1624" s="74" t="s">
        <v>57</v>
      </c>
      <c r="D1624" s="268">
        <f>51*0.6*0.1</f>
        <v>3.06</v>
      </c>
      <c r="E1624" s="69"/>
      <c r="F1624" s="82">
        <f>D1624*E1624</f>
        <v>0</v>
      </c>
      <c r="G1624" s="51">
        <v>95</v>
      </c>
      <c r="H1624" s="39"/>
      <c r="I1624" s="39"/>
      <c r="N1624" s="981">
        <f>E1624*1.2</f>
        <v>0</v>
      </c>
      <c r="O1624" s="981">
        <f>N1624*D1624</f>
        <v>0</v>
      </c>
    </row>
    <row r="1625" spans="1:15" ht="76.5">
      <c r="A1625" s="8">
        <v>2.04</v>
      </c>
      <c r="B1625" s="85" t="s">
        <v>1234</v>
      </c>
      <c r="C1625" s="74" t="s">
        <v>71</v>
      </c>
      <c r="D1625" s="268">
        <f>18.38+12.9+4.8</f>
        <v>36.08</v>
      </c>
      <c r="E1625" s="69"/>
      <c r="F1625" s="82">
        <f>D1625*E1625</f>
        <v>0</v>
      </c>
      <c r="G1625" s="51">
        <v>6</v>
      </c>
      <c r="H1625" s="39"/>
      <c r="I1625" s="39"/>
      <c r="N1625" s="981">
        <f>E1625*1.2</f>
        <v>0</v>
      </c>
      <c r="O1625" s="981">
        <f>N1625*D1625</f>
        <v>0</v>
      </c>
    </row>
    <row r="1626" spans="1:15" s="39" customFormat="1" ht="76.5">
      <c r="A1626" s="8">
        <v>2.05</v>
      </c>
      <c r="B1626" s="190" t="s">
        <v>1235</v>
      </c>
      <c r="C1626" s="6" t="s">
        <v>71</v>
      </c>
      <c r="D1626" s="7">
        <f>20</f>
        <v>20</v>
      </c>
      <c r="E1626" s="69"/>
      <c r="F1626" s="7">
        <f>D1626*E1626</f>
        <v>0</v>
      </c>
      <c r="G1626" s="26">
        <v>8.5</v>
      </c>
      <c r="H1626" s="72"/>
      <c r="I1626" s="72"/>
      <c r="N1626" s="981">
        <f>E1626*1.2</f>
        <v>0</v>
      </c>
      <c r="O1626" s="981">
        <f>N1626*D1626</f>
        <v>0</v>
      </c>
    </row>
    <row r="1627" spans="1:15" ht="12.75">
      <c r="A1627" s="113"/>
      <c r="B1627" s="585"/>
      <c r="C1627" s="196"/>
      <c r="D1627" s="118"/>
      <c r="E1627" s="187"/>
      <c r="F1627" s="82"/>
      <c r="G1627" s="51"/>
      <c r="H1627" s="39"/>
      <c r="I1627" s="39"/>
      <c r="N1627" s="89"/>
      <c r="O1627" s="89"/>
    </row>
    <row r="1628" spans="1:15" ht="15.75">
      <c r="A1628" s="659">
        <v>2</v>
      </c>
      <c r="B1628" s="622" t="s">
        <v>22</v>
      </c>
      <c r="C1628" s="623"/>
      <c r="D1628" s="660"/>
      <c r="E1628" s="661" t="s">
        <v>96</v>
      </c>
      <c r="F1628" s="612">
        <f>SUM(F1617:F1627)</f>
        <v>0</v>
      </c>
      <c r="G1628" s="609"/>
      <c r="H1628" s="609"/>
      <c r="I1628" s="609"/>
      <c r="J1628" s="609"/>
      <c r="K1628" s="609"/>
      <c r="L1628" s="609"/>
      <c r="M1628" s="609"/>
      <c r="N1628" s="615"/>
      <c r="O1628" s="612">
        <f>SUM(O1617:O1627)</f>
        <v>0</v>
      </c>
    </row>
    <row r="1629" spans="14:15" s="165" customFormat="1" ht="12.75">
      <c r="N1629" s="192"/>
      <c r="O1629" s="192"/>
    </row>
    <row r="1630" spans="1:15" ht="12.75">
      <c r="A1630" s="38"/>
      <c r="B1630" s="38"/>
      <c r="C1630" s="38"/>
      <c r="D1630" s="38"/>
      <c r="E1630" s="38"/>
      <c r="F1630" s="38"/>
      <c r="N1630" s="89"/>
      <c r="O1630" s="89"/>
    </row>
    <row r="1631" spans="1:15" ht="15.75">
      <c r="A1631" s="659">
        <v>3</v>
      </c>
      <c r="B1631" s="622" t="s">
        <v>21</v>
      </c>
      <c r="C1631" s="623"/>
      <c r="D1631" s="660"/>
      <c r="E1631" s="661"/>
      <c r="F1631" s="612"/>
      <c r="G1631" s="609"/>
      <c r="H1631" s="609"/>
      <c r="I1631" s="609"/>
      <c r="J1631" s="609"/>
      <c r="K1631" s="609"/>
      <c r="L1631" s="609"/>
      <c r="M1631" s="609"/>
      <c r="N1631" s="615"/>
      <c r="O1631" s="615"/>
    </row>
    <row r="1632" spans="1:15" ht="127.5">
      <c r="A1632" s="316">
        <v>3.01</v>
      </c>
      <c r="B1632" s="85" t="s">
        <v>1236</v>
      </c>
      <c r="C1632" s="74" t="s">
        <v>45</v>
      </c>
      <c r="D1632" s="268">
        <f>8.2*1.5</f>
        <v>12.299999999999999</v>
      </c>
      <c r="E1632" s="69"/>
      <c r="F1632" s="82">
        <f>D1632*E1632</f>
        <v>0</v>
      </c>
      <c r="G1632" s="51">
        <v>12</v>
      </c>
      <c r="N1632" s="981">
        <f>E1632*1.2</f>
        <v>0</v>
      </c>
      <c r="O1632" s="981">
        <f>N1632*D1632</f>
        <v>0</v>
      </c>
    </row>
    <row r="1633" spans="1:15" s="165" customFormat="1" ht="12.75">
      <c r="A1633" s="277"/>
      <c r="G1633" s="167"/>
      <c r="N1633" s="192"/>
      <c r="O1633" s="192"/>
    </row>
    <row r="1634" spans="1:15" s="165" customFormat="1" ht="76.5">
      <c r="A1634" s="586">
        <v>3.02</v>
      </c>
      <c r="B1634" s="85" t="s">
        <v>1237</v>
      </c>
      <c r="C1634" s="587"/>
      <c r="D1634" s="588"/>
      <c r="E1634" s="588"/>
      <c r="F1634" s="588"/>
      <c r="G1634" s="167"/>
      <c r="N1634" s="192"/>
      <c r="O1634" s="192"/>
    </row>
    <row r="1635" spans="1:15" s="165" customFormat="1" ht="12.75">
      <c r="A1635" s="167"/>
      <c r="B1635" s="585" t="s">
        <v>1238</v>
      </c>
      <c r="C1635" s="74" t="s">
        <v>45</v>
      </c>
      <c r="D1635" s="268">
        <f>51*0.2*2</f>
        <v>20.400000000000002</v>
      </c>
      <c r="E1635" s="69"/>
      <c r="F1635" s="82">
        <f>D1635*E1635</f>
        <v>0</v>
      </c>
      <c r="G1635" s="51">
        <v>12</v>
      </c>
      <c r="N1635" s="981">
        <f>E1635*1.2</f>
        <v>0</v>
      </c>
      <c r="O1635" s="981">
        <f>N1635*D1635</f>
        <v>0</v>
      </c>
    </row>
    <row r="1636" spans="1:15" s="165" customFormat="1" ht="12.75">
      <c r="A1636" s="167"/>
      <c r="B1636" s="585" t="s">
        <v>1239</v>
      </c>
      <c r="C1636" s="74" t="s">
        <v>45</v>
      </c>
      <c r="D1636" s="268">
        <f>8.2*1.5*2</f>
        <v>24.599999999999998</v>
      </c>
      <c r="E1636" s="69"/>
      <c r="F1636" s="82">
        <f>D1636*E1636</f>
        <v>0</v>
      </c>
      <c r="G1636" s="51">
        <v>12</v>
      </c>
      <c r="N1636" s="981">
        <f>E1636*1.2</f>
        <v>0</v>
      </c>
      <c r="O1636" s="981">
        <f>N1636*D1636</f>
        <v>0</v>
      </c>
    </row>
    <row r="1637" spans="1:15" s="165" customFormat="1" ht="12.75">
      <c r="A1637" s="167"/>
      <c r="B1637" s="585"/>
      <c r="C1637" s="196"/>
      <c r="D1637" s="118"/>
      <c r="E1637" s="187"/>
      <c r="F1637" s="82"/>
      <c r="G1637" s="51"/>
      <c r="N1637" s="981"/>
      <c r="O1637" s="192"/>
    </row>
    <row r="1638" spans="1:15" ht="15.75">
      <c r="A1638" s="659">
        <v>3</v>
      </c>
      <c r="B1638" s="622" t="s">
        <v>21</v>
      </c>
      <c r="C1638" s="623"/>
      <c r="D1638" s="660"/>
      <c r="E1638" s="661" t="s">
        <v>97</v>
      </c>
      <c r="F1638" s="612">
        <f>SUM(F1632:F1637)</f>
        <v>0</v>
      </c>
      <c r="G1638" s="609"/>
      <c r="H1638" s="609"/>
      <c r="I1638" s="609"/>
      <c r="J1638" s="609"/>
      <c r="K1638" s="609"/>
      <c r="L1638" s="609"/>
      <c r="M1638" s="609"/>
      <c r="N1638" s="615"/>
      <c r="O1638" s="612">
        <f>SUM(O1632:O1637)</f>
        <v>0</v>
      </c>
    </row>
    <row r="1639" spans="14:15" s="165" customFormat="1" ht="12.75">
      <c r="N1639" s="192"/>
      <c r="O1639" s="192"/>
    </row>
    <row r="1640" spans="14:15" s="165" customFormat="1" ht="12.75">
      <c r="N1640" s="192"/>
      <c r="O1640" s="192"/>
    </row>
    <row r="1641" spans="1:15" ht="15.75">
      <c r="A1641" s="610">
        <v>4</v>
      </c>
      <c r="B1641" s="666" t="s">
        <v>28</v>
      </c>
      <c r="C1641" s="623"/>
      <c r="D1641" s="667"/>
      <c r="E1641" s="625"/>
      <c r="F1641" s="626"/>
      <c r="G1641" s="627"/>
      <c r="H1641" s="609"/>
      <c r="I1641" s="609"/>
      <c r="J1641" s="609"/>
      <c r="K1641" s="609"/>
      <c r="L1641" s="609"/>
      <c r="M1641" s="609"/>
      <c r="N1641" s="615"/>
      <c r="O1641" s="615"/>
    </row>
    <row r="1642" spans="1:15" ht="198" customHeight="1">
      <c r="A1642" s="75"/>
      <c r="B1642" s="1193" t="s">
        <v>118</v>
      </c>
      <c r="C1642" s="1194"/>
      <c r="D1642" s="1194"/>
      <c r="E1642" s="1194"/>
      <c r="F1642" s="1107"/>
      <c r="G1642" s="53"/>
      <c r="N1642" s="89"/>
      <c r="O1642" s="89"/>
    </row>
    <row r="1643" spans="1:15" ht="204">
      <c r="A1643" s="8">
        <v>4.01</v>
      </c>
      <c r="B1643" s="589" t="s">
        <v>1240</v>
      </c>
      <c r="C1643" s="61"/>
      <c r="D1643" s="7"/>
      <c r="E1643" s="192"/>
      <c r="F1643" s="192"/>
      <c r="G1643" s="590"/>
      <c r="N1643" s="89"/>
      <c r="O1643" s="89"/>
    </row>
    <row r="1644" spans="1:15" ht="12.75">
      <c r="A1644" s="8"/>
      <c r="B1644" s="589" t="s">
        <v>1241</v>
      </c>
      <c r="C1644" s="61" t="s">
        <v>71</v>
      </c>
      <c r="D1644" s="7">
        <v>51</v>
      </c>
      <c r="E1644" s="192"/>
      <c r="F1644" s="192"/>
      <c r="G1644" s="590"/>
      <c r="N1644" s="89"/>
      <c r="O1644" s="89"/>
    </row>
    <row r="1645" spans="1:15" ht="12.75">
      <c r="A1645" s="8"/>
      <c r="B1645" s="62" t="s">
        <v>43</v>
      </c>
      <c r="C1645" s="61" t="s">
        <v>71</v>
      </c>
      <c r="D1645" s="7">
        <f>D1644</f>
        <v>51</v>
      </c>
      <c r="E1645" s="69"/>
      <c r="F1645" s="82">
        <f>D1645*E1645</f>
        <v>0</v>
      </c>
      <c r="G1645" s="590">
        <v>30</v>
      </c>
      <c r="N1645" s="981">
        <f>E1645*1.2</f>
        <v>0</v>
      </c>
      <c r="O1645" s="981">
        <f>N1645*D1645</f>
        <v>0</v>
      </c>
    </row>
    <row r="1646" spans="1:15" ht="242.25">
      <c r="A1646" s="49">
        <v>4.02</v>
      </c>
      <c r="B1646" s="162" t="s">
        <v>1242</v>
      </c>
      <c r="C1646" s="61"/>
      <c r="D1646" s="61"/>
      <c r="E1646" s="61"/>
      <c r="F1646" s="61"/>
      <c r="G1646" s="590"/>
      <c r="N1646" s="89"/>
      <c r="O1646" s="89"/>
    </row>
    <row r="1647" spans="1:15" ht="12.75">
      <c r="A1647" s="8"/>
      <c r="B1647" s="64"/>
      <c r="C1647" s="61" t="s">
        <v>71</v>
      </c>
      <c r="D1647" s="7">
        <v>1.1</v>
      </c>
      <c r="E1647" s="69"/>
      <c r="F1647" s="82">
        <f>D1647*E1647</f>
        <v>0</v>
      </c>
      <c r="G1647" s="590">
        <v>20</v>
      </c>
      <c r="N1647" s="981">
        <f>E1647*1.2</f>
        <v>0</v>
      </c>
      <c r="O1647" s="981">
        <f>N1647*D1647</f>
        <v>0</v>
      </c>
    </row>
    <row r="1648" spans="1:15" ht="12.75">
      <c r="A1648" s="8"/>
      <c r="B1648" s="64"/>
      <c r="C1648" s="61"/>
      <c r="D1648" s="7"/>
      <c r="E1648" s="69"/>
      <c r="F1648" s="82"/>
      <c r="G1648" s="590"/>
      <c r="N1648" s="89"/>
      <c r="O1648" s="89"/>
    </row>
    <row r="1649" spans="1:15" ht="15.75">
      <c r="A1649" s="610">
        <v>4</v>
      </c>
      <c r="B1649" s="1038" t="s">
        <v>28</v>
      </c>
      <c r="C1649" s="617"/>
      <c r="D1649" s="618"/>
      <c r="E1649" s="612" t="s">
        <v>157</v>
      </c>
      <c r="F1649" s="612">
        <f>SUM(F1643:F1647)</f>
        <v>0</v>
      </c>
      <c r="G1649" s="609"/>
      <c r="H1649" s="609"/>
      <c r="I1649" s="609"/>
      <c r="J1649" s="609"/>
      <c r="K1649" s="609"/>
      <c r="L1649" s="609"/>
      <c r="M1649" s="609"/>
      <c r="N1649" s="615"/>
      <c r="O1649" s="612">
        <f>SUM(O1643:O1647)</f>
        <v>0</v>
      </c>
    </row>
    <row r="1650" spans="14:15" s="165" customFormat="1" ht="12.75">
      <c r="N1650" s="192"/>
      <c r="O1650" s="192"/>
    </row>
    <row r="1651" spans="1:15" ht="12.75">
      <c r="A1651" s="49"/>
      <c r="B1651" s="56"/>
      <c r="C1651" s="57"/>
      <c r="D1651" s="58"/>
      <c r="E1651" s="59"/>
      <c r="F1651" s="591"/>
      <c r="G1651" s="590"/>
      <c r="N1651" s="89"/>
      <c r="O1651" s="89"/>
    </row>
    <row r="1652" spans="1:15" ht="15.75">
      <c r="A1652" s="621">
        <v>5</v>
      </c>
      <c r="B1652" s="678" t="s">
        <v>144</v>
      </c>
      <c r="C1652" s="677"/>
      <c r="D1652" s="650"/>
      <c r="E1652" s="625"/>
      <c r="F1652" s="626"/>
      <c r="G1652" s="627"/>
      <c r="H1652" s="609"/>
      <c r="I1652" s="609"/>
      <c r="J1652" s="609"/>
      <c r="K1652" s="609"/>
      <c r="L1652" s="609"/>
      <c r="M1652" s="609"/>
      <c r="N1652" s="615"/>
      <c r="O1652" s="615"/>
    </row>
    <row r="1653" spans="1:15" ht="150.75" customHeight="1">
      <c r="A1653" s="94"/>
      <c r="B1653" s="1190" t="s">
        <v>145</v>
      </c>
      <c r="C1653" s="1191"/>
      <c r="D1653" s="1191"/>
      <c r="E1653" s="1191"/>
      <c r="F1653" s="1100"/>
      <c r="G1653" s="53"/>
      <c r="N1653" s="89"/>
      <c r="O1653" s="89"/>
    </row>
    <row r="1654" spans="1:15" ht="140.25">
      <c r="A1654" s="8">
        <v>5.01</v>
      </c>
      <c r="B1654" s="216" t="s">
        <v>1243</v>
      </c>
      <c r="C1654" s="6"/>
      <c r="D1654" s="125"/>
      <c r="E1654" s="38"/>
      <c r="F1654" s="38"/>
      <c r="N1654" s="89"/>
      <c r="O1654" s="89"/>
    </row>
    <row r="1655" spans="1:15" ht="12.75">
      <c r="A1655" s="8"/>
      <c r="B1655" s="266" t="s">
        <v>1244</v>
      </c>
      <c r="C1655" s="61" t="s">
        <v>45</v>
      </c>
      <c r="D1655" s="7">
        <f>51*0.2*2</f>
        <v>20.400000000000002</v>
      </c>
      <c r="E1655" s="69"/>
      <c r="F1655" s="82"/>
      <c r="G1655" s="590"/>
      <c r="N1655" s="89"/>
      <c r="O1655" s="89"/>
    </row>
    <row r="1656" spans="1:15" ht="12.75">
      <c r="A1656" s="8"/>
      <c r="B1656" s="266" t="s">
        <v>1245</v>
      </c>
      <c r="C1656" s="61" t="s">
        <v>45</v>
      </c>
      <c r="D1656" s="7">
        <f>8.2*1.5*2</f>
        <v>24.599999999999998</v>
      </c>
      <c r="E1656" s="69"/>
      <c r="F1656" s="82"/>
      <c r="G1656" s="590"/>
      <c r="N1656" s="89"/>
      <c r="O1656" s="89"/>
    </row>
    <row r="1657" spans="1:15" ht="12.75">
      <c r="A1657" s="8"/>
      <c r="B1657" s="592" t="s">
        <v>53</v>
      </c>
      <c r="C1657" s="57" t="s">
        <v>45</v>
      </c>
      <c r="D1657" s="58">
        <f>SUM(D1655:D1656)</f>
        <v>45</v>
      </c>
      <c r="E1657" s="69"/>
      <c r="F1657" s="82">
        <f>D1657*E1657</f>
        <v>0</v>
      </c>
      <c r="G1657" s="38">
        <v>2.25</v>
      </c>
      <c r="N1657" s="981">
        <f>E1657*1.2</f>
        <v>0</v>
      </c>
      <c r="O1657" s="981">
        <f>N1657*D1657</f>
        <v>0</v>
      </c>
    </row>
    <row r="1658" spans="1:15" ht="15.75">
      <c r="A1658" s="610">
        <v>5</v>
      </c>
      <c r="B1658" s="678" t="s">
        <v>144</v>
      </c>
      <c r="C1658" s="649"/>
      <c r="D1658" s="650"/>
      <c r="E1658" s="612" t="s">
        <v>166</v>
      </c>
      <c r="F1658" s="612">
        <f>SUM(F1654:F1657)</f>
        <v>0</v>
      </c>
      <c r="G1658" s="627"/>
      <c r="H1658" s="609"/>
      <c r="I1658" s="609"/>
      <c r="J1658" s="609"/>
      <c r="K1658" s="609"/>
      <c r="L1658" s="609"/>
      <c r="M1658" s="609"/>
      <c r="N1658" s="615"/>
      <c r="O1658" s="612">
        <f>SUM(O1654:O1657)</f>
        <v>0</v>
      </c>
    </row>
    <row r="1659" spans="5:15" s="165" customFormat="1" ht="12.75">
      <c r="E1659" s="593"/>
      <c r="F1659" s="593"/>
      <c r="N1659" s="192"/>
      <c r="O1659" s="192"/>
    </row>
    <row r="1660" spans="1:15" ht="12.75">
      <c r="A1660" s="8"/>
      <c r="B1660" s="266"/>
      <c r="C1660" s="115"/>
      <c r="D1660" s="215"/>
      <c r="E1660" s="38"/>
      <c r="F1660" s="38"/>
      <c r="N1660" s="89"/>
      <c r="O1660" s="89"/>
    </row>
    <row r="1661" spans="1:15" ht="15.75">
      <c r="A1661" s="610">
        <v>6</v>
      </c>
      <c r="B1661" s="666" t="s">
        <v>1246</v>
      </c>
      <c r="C1661" s="677"/>
      <c r="D1661" s="650"/>
      <c r="E1661" s="625"/>
      <c r="F1661" s="626"/>
      <c r="G1661" s="609"/>
      <c r="H1661" s="609"/>
      <c r="I1661" s="609"/>
      <c r="J1661" s="609"/>
      <c r="K1661" s="609"/>
      <c r="L1661" s="609"/>
      <c r="M1661" s="609"/>
      <c r="N1661" s="615"/>
      <c r="O1661" s="615"/>
    </row>
    <row r="1662" spans="1:15" ht="12.75">
      <c r="A1662" s="34" t="s">
        <v>38</v>
      </c>
      <c r="B1662" s="35" t="s">
        <v>39</v>
      </c>
      <c r="C1662" s="21" t="s">
        <v>40</v>
      </c>
      <c r="D1662" s="21" t="s">
        <v>41</v>
      </c>
      <c r="E1662" s="22" t="s">
        <v>42</v>
      </c>
      <c r="F1662" s="22" t="s">
        <v>43</v>
      </c>
      <c r="N1662" s="89"/>
      <c r="O1662" s="89"/>
    </row>
    <row r="1663" spans="1:15" ht="178.5">
      <c r="A1663" s="8">
        <v>6.01</v>
      </c>
      <c r="B1663" s="594" t="s">
        <v>1247</v>
      </c>
      <c r="C1663" s="6" t="s">
        <v>47</v>
      </c>
      <c r="D1663" s="205">
        <v>2</v>
      </c>
      <c r="E1663" s="69"/>
      <c r="F1663" s="82">
        <f>D1663*E1663</f>
        <v>0</v>
      </c>
      <c r="G1663" s="38">
        <v>285</v>
      </c>
      <c r="N1663" s="981">
        <f>E1663*1.2</f>
        <v>0</v>
      </c>
      <c r="O1663" s="981">
        <f>N1663*D1663</f>
        <v>0</v>
      </c>
    </row>
    <row r="1664" spans="1:15" ht="102">
      <c r="A1664" s="8">
        <v>6.02</v>
      </c>
      <c r="B1664" s="594" t="s">
        <v>1248</v>
      </c>
      <c r="C1664" s="6" t="s">
        <v>47</v>
      </c>
      <c r="D1664" s="205">
        <v>2</v>
      </c>
      <c r="E1664" s="69"/>
      <c r="F1664" s="82">
        <f>D1664*E1664</f>
        <v>0</v>
      </c>
      <c r="G1664" s="38">
        <v>60</v>
      </c>
      <c r="N1664" s="981">
        <f>E1664*1.2</f>
        <v>0</v>
      </c>
      <c r="O1664" s="981">
        <f>N1664*D1664</f>
        <v>0</v>
      </c>
    </row>
    <row r="1665" spans="1:15" ht="15.75">
      <c r="A1665" s="610">
        <v>6</v>
      </c>
      <c r="B1665" s="611" t="s">
        <v>1246</v>
      </c>
      <c r="C1665" s="617"/>
      <c r="D1665" s="1039"/>
      <c r="E1665" s="612" t="s">
        <v>238</v>
      </c>
      <c r="F1665" s="612">
        <f>SUM(F1663:F1664)</f>
        <v>0</v>
      </c>
      <c r="G1665" s="609"/>
      <c r="H1665" s="609"/>
      <c r="I1665" s="609"/>
      <c r="J1665" s="609"/>
      <c r="K1665" s="609"/>
      <c r="L1665" s="609"/>
      <c r="M1665" s="609"/>
      <c r="N1665" s="615"/>
      <c r="O1665" s="612">
        <f>SUM(O1663:O1664)</f>
        <v>0</v>
      </c>
    </row>
    <row r="1666" spans="1:15" ht="12.75">
      <c r="A1666" s="31"/>
      <c r="B1666" s="32"/>
      <c r="C1666" s="26"/>
      <c r="D1666" s="27"/>
      <c r="E1666" s="33"/>
      <c r="F1666" s="33"/>
      <c r="N1666" s="89"/>
      <c r="O1666" s="89"/>
    </row>
    <row r="1667" spans="1:15" ht="12.75">
      <c r="A1667" s="31"/>
      <c r="B1667" s="32"/>
      <c r="C1667" s="26"/>
      <c r="D1667" s="27"/>
      <c r="E1667" s="33"/>
      <c r="F1667" s="33"/>
      <c r="N1667" s="89"/>
      <c r="O1667" s="89"/>
    </row>
    <row r="1668" spans="1:15" ht="12.75">
      <c r="A1668" s="31"/>
      <c r="B1668" s="32"/>
      <c r="C1668" s="26"/>
      <c r="D1668" s="27"/>
      <c r="E1668" s="33"/>
      <c r="F1668" s="33"/>
      <c r="N1668" s="89"/>
      <c r="O1668" s="89"/>
    </row>
    <row r="1669" spans="1:15" ht="15.75">
      <c r="A1669" s="621">
        <v>7</v>
      </c>
      <c r="B1669" s="682" t="s">
        <v>156</v>
      </c>
      <c r="C1669" s="683"/>
      <c r="D1669" s="660"/>
      <c r="E1669" s="680"/>
      <c r="F1669" s="681"/>
      <c r="G1669" s="609"/>
      <c r="H1669" s="609"/>
      <c r="I1669" s="609"/>
      <c r="J1669" s="609"/>
      <c r="K1669" s="609"/>
      <c r="L1669" s="609"/>
      <c r="M1669" s="609"/>
      <c r="N1669" s="615"/>
      <c r="O1669" s="615"/>
    </row>
    <row r="1670" spans="1:15" ht="15.75">
      <c r="A1670" s="595"/>
      <c r="B1670" s="596"/>
      <c r="C1670" s="11"/>
      <c r="D1670" s="36"/>
      <c r="E1670" s="597"/>
      <c r="F1670" s="597"/>
      <c r="N1670" s="89"/>
      <c r="O1670" s="89"/>
    </row>
    <row r="1671" spans="1:15" ht="15">
      <c r="A1671" s="12">
        <v>1</v>
      </c>
      <c r="B1671" s="13" t="s">
        <v>184</v>
      </c>
      <c r="C1671" s="14"/>
      <c r="D1671" s="23"/>
      <c r="E1671" s="24" t="s">
        <v>61</v>
      </c>
      <c r="F1671" s="25">
        <f>F1608</f>
        <v>0</v>
      </c>
      <c r="N1671" s="89"/>
      <c r="O1671" s="25">
        <f>O1608</f>
        <v>0</v>
      </c>
    </row>
    <row r="1672" spans="1:15" ht="15">
      <c r="A1672" s="12">
        <v>2</v>
      </c>
      <c r="B1672" s="20" t="s">
        <v>22</v>
      </c>
      <c r="C1672" s="14"/>
      <c r="D1672" s="23"/>
      <c r="E1672" s="24" t="s">
        <v>96</v>
      </c>
      <c r="F1672" s="25">
        <f>F1628</f>
        <v>0</v>
      </c>
      <c r="N1672" s="89"/>
      <c r="O1672" s="25">
        <f>O1628</f>
        <v>0</v>
      </c>
    </row>
    <row r="1673" spans="1:15" ht="15">
      <c r="A1673" s="12">
        <v>3</v>
      </c>
      <c r="B1673" s="13" t="s">
        <v>21</v>
      </c>
      <c r="C1673" s="14"/>
      <c r="D1673" s="23"/>
      <c r="E1673" s="24" t="s">
        <v>1249</v>
      </c>
      <c r="F1673" s="25">
        <f>F1638</f>
        <v>0</v>
      </c>
      <c r="N1673" s="89"/>
      <c r="O1673" s="25">
        <f>O1638</f>
        <v>0</v>
      </c>
    </row>
    <row r="1674" spans="1:15" ht="15">
      <c r="A1674" s="12">
        <v>4</v>
      </c>
      <c r="B1674" s="20" t="s">
        <v>28</v>
      </c>
      <c r="C1674" s="14"/>
      <c r="D1674" s="23"/>
      <c r="E1674" s="24" t="s">
        <v>157</v>
      </c>
      <c r="F1674" s="25">
        <f>F1649</f>
        <v>0</v>
      </c>
      <c r="N1674" s="89"/>
      <c r="O1674" s="25">
        <f>O1649</f>
        <v>0</v>
      </c>
    </row>
    <row r="1675" spans="1:15" ht="15">
      <c r="A1675" s="12">
        <v>5</v>
      </c>
      <c r="B1675" s="15" t="s">
        <v>144</v>
      </c>
      <c r="C1675" s="14"/>
      <c r="D1675" s="23"/>
      <c r="E1675" s="24" t="s">
        <v>236</v>
      </c>
      <c r="F1675" s="25">
        <f>F1658</f>
        <v>0</v>
      </c>
      <c r="N1675" s="89"/>
      <c r="O1675" s="25">
        <f>O1658</f>
        <v>0</v>
      </c>
    </row>
    <row r="1676" spans="1:15" ht="15">
      <c r="A1676" s="12">
        <v>6</v>
      </c>
      <c r="B1676" s="15" t="s">
        <v>1246</v>
      </c>
      <c r="C1676" s="14"/>
      <c r="D1676" s="23"/>
      <c r="E1676" s="24" t="s">
        <v>237</v>
      </c>
      <c r="F1676" s="25">
        <f>F1665</f>
        <v>0</v>
      </c>
      <c r="N1676" s="89"/>
      <c r="O1676" s="25">
        <f>O1665</f>
        <v>0</v>
      </c>
    </row>
    <row r="1677" spans="1:15" ht="15.75">
      <c r="A1677" s="610">
        <v>7</v>
      </c>
      <c r="B1677" s="682" t="s">
        <v>156</v>
      </c>
      <c r="C1677" s="683"/>
      <c r="D1677" s="660"/>
      <c r="E1677" s="612" t="s">
        <v>238</v>
      </c>
      <c r="F1677" s="673">
        <f>SUM(F1671:F1676)</f>
        <v>0</v>
      </c>
      <c r="G1677" s="609"/>
      <c r="H1677" s="609"/>
      <c r="I1677" s="609"/>
      <c r="J1677" s="609"/>
      <c r="K1677" s="609"/>
      <c r="L1677" s="609"/>
      <c r="M1677" s="609"/>
      <c r="N1677" s="615"/>
      <c r="O1677" s="673">
        <f>SUM(O1671:O1676)</f>
        <v>0</v>
      </c>
    </row>
    <row r="1678" spans="1:15" ht="14.25">
      <c r="A1678" s="552"/>
      <c r="B1678" s="553"/>
      <c r="C1678" s="554"/>
      <c r="D1678" s="554"/>
      <c r="E1678" s="556"/>
      <c r="F1678" s="556"/>
      <c r="N1678" s="633"/>
      <c r="O1678" s="633"/>
    </row>
    <row r="1679" spans="1:15" ht="14.25">
      <c r="A1679" s="552"/>
      <c r="B1679" s="553"/>
      <c r="C1679" s="554"/>
      <c r="D1679" s="554"/>
      <c r="E1679" s="556"/>
      <c r="F1679" s="556"/>
      <c r="N1679" s="633"/>
      <c r="O1679" s="633"/>
    </row>
    <row r="1680" spans="1:15" ht="15">
      <c r="A1680" s="557"/>
      <c r="B1680" s="558" t="s">
        <v>1206</v>
      </c>
      <c r="C1680" s="558"/>
      <c r="D1680" s="558"/>
      <c r="E1680" s="558"/>
      <c r="F1680" s="558"/>
      <c r="N1680" s="633"/>
      <c r="O1680" s="633"/>
    </row>
    <row r="1681" spans="1:15" ht="15">
      <c r="A1681" s="557"/>
      <c r="B1681" s="558"/>
      <c r="C1681" s="559"/>
      <c r="D1681" s="560"/>
      <c r="E1681" s="559"/>
      <c r="F1681" s="561"/>
      <c r="N1681" s="633"/>
      <c r="O1681" s="633"/>
    </row>
    <row r="1682" spans="1:15" ht="14.25">
      <c r="A1682" s="562"/>
      <c r="B1682" s="563"/>
      <c r="C1682" s="564"/>
      <c r="D1682" s="565"/>
      <c r="E1682" s="566"/>
      <c r="F1682" s="567"/>
      <c r="N1682" s="633"/>
      <c r="O1682" s="633"/>
    </row>
    <row r="1683" spans="1:15" ht="14.25">
      <c r="A1683" s="568" t="s">
        <v>1207</v>
      </c>
      <c r="B1683" s="569" t="s">
        <v>1208</v>
      </c>
      <c r="C1683" s="570"/>
      <c r="D1683" s="570"/>
      <c r="E1683" s="571"/>
      <c r="F1683" s="572">
        <f>F510</f>
        <v>0</v>
      </c>
      <c r="N1683" s="633"/>
      <c r="O1683" s="572">
        <f>O510</f>
        <v>0</v>
      </c>
    </row>
    <row r="1684" spans="1:15" ht="14.25">
      <c r="A1684" s="568" t="s">
        <v>1209</v>
      </c>
      <c r="B1684" s="569" t="s">
        <v>1210</v>
      </c>
      <c r="C1684" s="570"/>
      <c r="D1684" s="570"/>
      <c r="E1684" s="571"/>
      <c r="F1684" s="572">
        <f>F1126</f>
        <v>0</v>
      </c>
      <c r="N1684" s="633"/>
      <c r="O1684" s="572">
        <f>O1126</f>
        <v>0</v>
      </c>
    </row>
    <row r="1685" spans="1:15" ht="14.25">
      <c r="A1685" s="568" t="s">
        <v>1211</v>
      </c>
      <c r="B1685" s="569" t="s">
        <v>1212</v>
      </c>
      <c r="C1685" s="570"/>
      <c r="D1685" s="570"/>
      <c r="E1685" s="571"/>
      <c r="F1685" s="572">
        <f>F1208</f>
        <v>0</v>
      </c>
      <c r="N1685" s="633"/>
      <c r="O1685" s="572">
        <f>O1208</f>
        <v>0</v>
      </c>
    </row>
    <row r="1686" spans="1:15" ht="14.25">
      <c r="A1686" s="568" t="s">
        <v>1213</v>
      </c>
      <c r="B1686" s="569" t="s">
        <v>1214</v>
      </c>
      <c r="C1686" s="570"/>
      <c r="D1686" s="570"/>
      <c r="E1686" s="571"/>
      <c r="F1686" s="572">
        <f>F1401</f>
        <v>0</v>
      </c>
      <c r="N1686" s="633"/>
      <c r="O1686" s="572">
        <f>O1401</f>
        <v>0</v>
      </c>
    </row>
    <row r="1687" spans="1:15" ht="14.25">
      <c r="A1687" s="568" t="s">
        <v>1215</v>
      </c>
      <c r="B1687" s="569" t="s">
        <v>1216</v>
      </c>
      <c r="C1687" s="570"/>
      <c r="D1687" s="570"/>
      <c r="E1687" s="571"/>
      <c r="F1687" s="572">
        <f>E1587</f>
        <v>0</v>
      </c>
      <c r="N1687" s="633"/>
      <c r="O1687" s="572">
        <f>N1587</f>
        <v>0</v>
      </c>
    </row>
    <row r="1688" spans="1:15" ht="14.25">
      <c r="A1688" s="568" t="s">
        <v>1217</v>
      </c>
      <c r="B1688" s="569" t="s">
        <v>1218</v>
      </c>
      <c r="C1688" s="570"/>
      <c r="D1688" s="570"/>
      <c r="E1688" s="571"/>
      <c r="F1688" s="1045">
        <f>F1677</f>
        <v>0</v>
      </c>
      <c r="N1688" s="734"/>
      <c r="O1688" s="1045">
        <f>O1677</f>
        <v>0</v>
      </c>
    </row>
    <row r="1689" spans="1:15" ht="15">
      <c r="A1689" s="573"/>
      <c r="B1689" s="574" t="s">
        <v>156</v>
      </c>
      <c r="C1689" s="575"/>
      <c r="D1689" s="575"/>
      <c r="E1689" s="576"/>
      <c r="F1689" s="577">
        <f>SUM(F1683:F1688)</f>
        <v>0</v>
      </c>
      <c r="G1689" s="697"/>
      <c r="H1689" s="697"/>
      <c r="I1689" s="697"/>
      <c r="J1689" s="697"/>
      <c r="K1689" s="697"/>
      <c r="L1689" s="697"/>
      <c r="M1689" s="697"/>
      <c r="N1689" s="633"/>
      <c r="O1689" s="577">
        <f>SUM(O1683:O1688)</f>
        <v>0</v>
      </c>
    </row>
    <row r="1690" spans="1:15" ht="15">
      <c r="A1690" s="557"/>
      <c r="B1690" s="558"/>
      <c r="C1690" s="578"/>
      <c r="D1690" s="578"/>
      <c r="E1690" s="1044"/>
      <c r="F1690" s="579"/>
      <c r="G1690" s="317"/>
      <c r="H1690" s="317"/>
      <c r="I1690" s="317"/>
      <c r="J1690" s="317"/>
      <c r="K1690" s="317"/>
      <c r="L1690" s="317"/>
      <c r="M1690" s="317"/>
      <c r="N1690" s="294"/>
      <c r="O1690" s="579"/>
    </row>
    <row r="1691" spans="1:15" ht="31.5" customHeight="1">
      <c r="A1691" s="1195" t="s">
        <v>1273</v>
      </c>
      <c r="B1691" s="1195"/>
      <c r="C1691" s="1195"/>
      <c r="D1691" s="1195"/>
      <c r="E1691" s="1195"/>
      <c r="F1691" s="1114"/>
      <c r="G1691" s="1114"/>
      <c r="H1691" s="1114"/>
      <c r="I1691" s="1114"/>
      <c r="J1691" s="1114"/>
      <c r="K1691" s="1114"/>
      <c r="L1691" s="1114"/>
      <c r="M1691" s="1114"/>
      <c r="N1691" s="1114"/>
      <c r="O1691" s="1114"/>
    </row>
    <row r="1692" spans="1:15" ht="15" customHeight="1">
      <c r="A1692" s="1195"/>
      <c r="B1692" s="1195"/>
      <c r="C1692" s="1195"/>
      <c r="D1692" s="1195"/>
      <c r="E1692" s="1195"/>
      <c r="F1692" s="1114"/>
      <c r="G1692" s="1114"/>
      <c r="H1692" s="1114"/>
      <c r="I1692" s="1114"/>
      <c r="J1692" s="1114"/>
      <c r="K1692" s="1114"/>
      <c r="L1692" s="1114"/>
      <c r="M1692" s="1114"/>
      <c r="N1692" s="1114"/>
      <c r="O1692" s="1114"/>
    </row>
    <row r="1693" spans="1:15" ht="15" customHeight="1">
      <c r="A1693" s="1195"/>
      <c r="B1693" s="1195"/>
      <c r="C1693" s="1195"/>
      <c r="D1693" s="1195"/>
      <c r="E1693" s="1195"/>
      <c r="F1693" s="1114"/>
      <c r="G1693" s="1114"/>
      <c r="H1693" s="1114"/>
      <c r="I1693" s="1114"/>
      <c r="J1693" s="1114"/>
      <c r="K1693" s="1114"/>
      <c r="L1693" s="1114"/>
      <c r="M1693" s="1114"/>
      <c r="N1693" s="1114"/>
      <c r="O1693" s="1114"/>
    </row>
    <row r="1694" spans="1:15" ht="15" customHeight="1">
      <c r="A1694" s="1195"/>
      <c r="B1694" s="1195"/>
      <c r="C1694" s="1195"/>
      <c r="D1694" s="1195"/>
      <c r="E1694" s="1195"/>
      <c r="F1694" s="1114"/>
      <c r="G1694" s="1114"/>
      <c r="H1694" s="1114"/>
      <c r="I1694" s="1114"/>
      <c r="J1694" s="1114"/>
      <c r="K1694" s="1114"/>
      <c r="L1694" s="1114"/>
      <c r="M1694" s="1114"/>
      <c r="N1694" s="1114"/>
      <c r="O1694" s="1114"/>
    </row>
    <row r="1695" spans="1:15" ht="15" customHeight="1">
      <c r="A1695" s="1195"/>
      <c r="B1695" s="1195"/>
      <c r="C1695" s="1195"/>
      <c r="D1695" s="1195"/>
      <c r="E1695" s="1195"/>
      <c r="F1695" s="1114"/>
      <c r="G1695" s="1114"/>
      <c r="H1695" s="1114"/>
      <c r="I1695" s="1114"/>
      <c r="J1695" s="1114"/>
      <c r="K1695" s="1114"/>
      <c r="L1695" s="1114"/>
      <c r="M1695" s="1114"/>
      <c r="N1695" s="1114"/>
      <c r="O1695" s="1114"/>
    </row>
    <row r="1696" spans="1:15" ht="17.25" customHeight="1">
      <c r="A1696" s="1195"/>
      <c r="B1696" s="1195"/>
      <c r="C1696" s="1195"/>
      <c r="D1696" s="1195"/>
      <c r="E1696" s="1195"/>
      <c r="F1696" s="1114"/>
      <c r="G1696" s="1114"/>
      <c r="H1696" s="1114"/>
      <c r="I1696" s="1114"/>
      <c r="J1696" s="1114"/>
      <c r="K1696" s="1114"/>
      <c r="L1696" s="1114"/>
      <c r="M1696" s="1114"/>
      <c r="N1696" s="1114"/>
      <c r="O1696" s="1114"/>
    </row>
    <row r="1697" spans="1:15" ht="48" customHeight="1">
      <c r="A1697" s="1195"/>
      <c r="B1697" s="1195"/>
      <c r="C1697" s="1195"/>
      <c r="D1697" s="1195"/>
      <c r="E1697" s="1195"/>
      <c r="F1697" s="1046"/>
      <c r="G1697" s="1046"/>
      <c r="H1697" s="1046"/>
      <c r="I1697" s="1046"/>
      <c r="J1697" s="1046"/>
      <c r="K1697" s="1046"/>
      <c r="L1697" s="1046"/>
      <c r="M1697" s="1046"/>
      <c r="N1697" s="1046"/>
      <c r="O1697" s="1046"/>
    </row>
    <row r="1698" spans="1:15" ht="15" customHeight="1">
      <c r="A1698" s="1046"/>
      <c r="B1698" s="1047" t="s">
        <v>1267</v>
      </c>
      <c r="C1698" s="1046"/>
      <c r="D1698" s="1046"/>
      <c r="E1698" s="1046"/>
      <c r="F1698" s="1189" t="s">
        <v>1271</v>
      </c>
      <c r="G1698" s="1189"/>
      <c r="H1698" s="1046"/>
      <c r="I1698" s="1046"/>
      <c r="J1698" s="1046"/>
      <c r="K1698" s="1046"/>
      <c r="L1698" s="1046"/>
      <c r="M1698" s="1046"/>
      <c r="N1698" s="1046"/>
      <c r="O1698" s="1046"/>
    </row>
    <row r="1699" spans="1:15" ht="15" customHeight="1">
      <c r="A1699" s="1046"/>
      <c r="B1699" s="1047" t="s">
        <v>1268</v>
      </c>
      <c r="C1699" s="1046"/>
      <c r="D1699" s="1046"/>
      <c r="E1699" s="1047" t="s">
        <v>1270</v>
      </c>
      <c r="F1699" s="1189" t="s">
        <v>1272</v>
      </c>
      <c r="G1699" s="1189"/>
      <c r="H1699" s="1046"/>
      <c r="I1699" s="1046"/>
      <c r="J1699" s="1046"/>
      <c r="K1699" s="1046"/>
      <c r="L1699" s="1046"/>
      <c r="M1699" s="1046"/>
      <c r="N1699" s="1046"/>
      <c r="O1699" s="1046"/>
    </row>
    <row r="1700" spans="1:15" ht="15" customHeight="1">
      <c r="A1700" s="1046"/>
      <c r="B1700" s="1047" t="s">
        <v>1269</v>
      </c>
      <c r="C1700" s="1046"/>
      <c r="D1700" s="1046"/>
      <c r="E1700" s="1046"/>
      <c r="F1700" s="1256"/>
      <c r="G1700" s="1256"/>
      <c r="H1700" s="1046"/>
      <c r="I1700" s="1046"/>
      <c r="J1700" s="1046"/>
      <c r="K1700" s="1046"/>
      <c r="L1700" s="1046"/>
      <c r="M1700" s="1046"/>
      <c r="N1700" s="1046"/>
      <c r="O1700" s="1046"/>
    </row>
    <row r="1701" spans="1:15" ht="15" customHeight="1">
      <c r="A1701" s="1046"/>
      <c r="B1701" s="1047" t="s">
        <v>1268</v>
      </c>
      <c r="C1701" s="1046"/>
      <c r="D1701" s="1046"/>
      <c r="E1701" s="1046"/>
      <c r="F1701" s="1256" t="s">
        <v>1268</v>
      </c>
      <c r="G1701" s="1256"/>
      <c r="H1701" s="1046"/>
      <c r="I1701" s="1046"/>
      <c r="J1701" s="1046"/>
      <c r="K1701" s="1046"/>
      <c r="L1701" s="1046"/>
      <c r="M1701" s="1046"/>
      <c r="N1701" s="1046"/>
      <c r="O1701" s="1046"/>
    </row>
    <row r="1703" spans="1:6" ht="30" customHeight="1">
      <c r="A1703" s="287"/>
      <c r="B1703" s="287"/>
      <c r="C1703" s="287"/>
      <c r="D1703" s="287"/>
      <c r="E1703" s="287"/>
      <c r="F1703" s="287"/>
    </row>
    <row r="1704" spans="1:6" ht="12.75">
      <c r="A1704" s="31"/>
      <c r="B1704" s="32"/>
      <c r="C1704" s="26"/>
      <c r="D1704" s="27"/>
      <c r="E1704" s="33"/>
      <c r="F1704" s="33"/>
    </row>
    <row r="1705" spans="1:6" ht="12.75">
      <c r="A1705" s="31"/>
      <c r="B1705" s="32"/>
      <c r="C1705" s="26"/>
      <c r="D1705" s="27"/>
      <c r="E1705" s="33"/>
      <c r="F1705" s="33"/>
    </row>
    <row r="1706" spans="1:6" ht="12.75">
      <c r="A1706" s="31"/>
      <c r="B1706" s="32"/>
      <c r="C1706" s="26"/>
      <c r="D1706" s="27"/>
      <c r="E1706" s="33"/>
      <c r="F1706" s="33"/>
    </row>
    <row r="1707" spans="1:6" ht="12.75">
      <c r="A1707" s="31"/>
      <c r="B1707" s="32"/>
      <c r="C1707" s="26"/>
      <c r="D1707" s="27"/>
      <c r="E1707" s="33"/>
      <c r="F1707" s="33"/>
    </row>
    <row r="1708" spans="1:6" ht="12.75">
      <c r="A1708" s="31"/>
      <c r="B1708" s="32"/>
      <c r="C1708" s="26"/>
      <c r="D1708" s="27"/>
      <c r="E1708" s="33"/>
      <c r="F1708" s="33"/>
    </row>
    <row r="1709" spans="1:6" ht="12.75">
      <c r="A1709" s="31"/>
      <c r="B1709" s="32"/>
      <c r="C1709" s="26"/>
      <c r="D1709" s="27"/>
      <c r="E1709" s="33"/>
      <c r="F1709" s="33"/>
    </row>
    <row r="1710" spans="1:6" ht="12.75">
      <c r="A1710" s="31"/>
      <c r="B1710" s="32"/>
      <c r="C1710" s="26"/>
      <c r="D1710" s="27"/>
      <c r="E1710" s="33"/>
      <c r="F1710" s="33"/>
    </row>
    <row r="1711" spans="1:6" ht="12.75">
      <c r="A1711" s="31"/>
      <c r="B1711" s="32"/>
      <c r="C1711" s="26"/>
      <c r="D1711" s="27"/>
      <c r="E1711" s="33"/>
      <c r="F1711" s="33"/>
    </row>
    <row r="1712" spans="1:6" ht="12.75">
      <c r="A1712" s="31"/>
      <c r="B1712" s="32"/>
      <c r="C1712" s="26"/>
      <c r="D1712" s="27"/>
      <c r="E1712" s="33"/>
      <c r="F1712" s="33"/>
    </row>
    <row r="1713" spans="1:6" ht="12.75">
      <c r="A1713" s="31"/>
      <c r="B1713" s="32"/>
      <c r="C1713" s="26"/>
      <c r="D1713" s="27"/>
      <c r="E1713" s="33"/>
      <c r="F1713" s="33"/>
    </row>
    <row r="1714" spans="1:6" ht="12.75">
      <c r="A1714" s="31"/>
      <c r="B1714" s="32"/>
      <c r="C1714" s="26"/>
      <c r="D1714" s="27"/>
      <c r="E1714" s="33"/>
      <c r="F1714" s="33"/>
    </row>
    <row r="1715" spans="1:6" ht="12.75">
      <c r="A1715" s="31"/>
      <c r="B1715" s="32"/>
      <c r="C1715" s="26"/>
      <c r="D1715" s="27"/>
      <c r="E1715" s="33"/>
      <c r="F1715" s="33"/>
    </row>
    <row r="1716" spans="1:6" ht="12.75">
      <c r="A1716" s="31"/>
      <c r="B1716" s="32"/>
      <c r="C1716" s="26"/>
      <c r="D1716" s="27"/>
      <c r="E1716" s="33"/>
      <c r="F1716" s="33"/>
    </row>
    <row r="1717" spans="1:6" ht="12.75">
      <c r="A1717" s="31"/>
      <c r="B1717" s="32"/>
      <c r="C1717" s="26"/>
      <c r="D1717" s="27"/>
      <c r="E1717" s="47"/>
      <c r="F1717" s="3"/>
    </row>
    <row r="1718" spans="1:6" ht="12.75">
      <c r="A1718" s="31"/>
      <c r="B1718" s="32"/>
      <c r="C1718" s="26"/>
      <c r="D1718" s="27"/>
      <c r="E1718" s="33"/>
      <c r="F1718" s="33"/>
    </row>
    <row r="1719" spans="1:6" ht="12.75">
      <c r="A1719" s="4"/>
      <c r="B1719" s="1"/>
      <c r="C1719" s="2"/>
      <c r="D1719" s="3"/>
      <c r="E1719" s="40"/>
      <c r="F1719" s="27"/>
    </row>
    <row r="1720" spans="1:6" ht="12.75">
      <c r="A1720" s="31"/>
      <c r="B1720" s="32"/>
      <c r="C1720" s="26"/>
      <c r="D1720" s="27"/>
      <c r="E1720" s="33"/>
      <c r="F1720" s="33"/>
    </row>
    <row r="1721" spans="1:6" ht="12.75">
      <c r="A1721" s="4"/>
      <c r="B1721" s="1"/>
      <c r="C1721" s="50"/>
      <c r="D1721" s="27"/>
      <c r="E1721" s="33"/>
      <c r="F1721" s="33"/>
    </row>
    <row r="1722" spans="1:6" ht="12.75">
      <c r="A1722" s="31"/>
      <c r="B1722" s="32"/>
      <c r="C1722" s="26"/>
      <c r="D1722" s="27"/>
      <c r="E1722" s="33"/>
      <c r="F1722" s="33"/>
    </row>
    <row r="1723" spans="1:6" ht="12.75">
      <c r="A1723" s="31"/>
      <c r="B1723" s="32"/>
      <c r="C1723" s="26"/>
      <c r="D1723" s="27"/>
      <c r="E1723" s="33"/>
      <c r="F1723" s="33"/>
    </row>
    <row r="1724" spans="1:6" ht="12.75">
      <c r="A1724" s="31"/>
      <c r="B1724" s="32"/>
      <c r="C1724" s="26"/>
      <c r="D1724" s="27"/>
      <c r="E1724" s="33"/>
      <c r="F1724" s="33"/>
    </row>
    <row r="1725" spans="1:6" ht="12.75">
      <c r="A1725" s="31"/>
      <c r="B1725" s="32"/>
      <c r="C1725" s="26"/>
      <c r="D1725" s="27"/>
      <c r="E1725" s="33"/>
      <c r="F1725" s="33"/>
    </row>
    <row r="1726" spans="1:6" ht="12.75">
      <c r="A1726" s="31"/>
      <c r="B1726" s="32"/>
      <c r="C1726" s="26"/>
      <c r="D1726" s="27"/>
      <c r="E1726" s="33"/>
      <c r="F1726" s="33"/>
    </row>
    <row r="1727" spans="1:6" ht="12.75">
      <c r="A1727" s="31"/>
      <c r="B1727" s="32"/>
      <c r="C1727" s="26"/>
      <c r="D1727" s="27"/>
      <c r="E1727" s="33"/>
      <c r="F1727" s="33"/>
    </row>
    <row r="1728" spans="1:6" ht="12.75">
      <c r="A1728" s="31"/>
      <c r="B1728" s="32"/>
      <c r="C1728" s="26"/>
      <c r="D1728" s="27"/>
      <c r="E1728" s="33"/>
      <c r="F1728" s="33"/>
    </row>
    <row r="1729" spans="1:6" ht="12.75">
      <c r="A1729" s="31"/>
      <c r="B1729" s="32"/>
      <c r="C1729" s="26"/>
      <c r="D1729" s="27"/>
      <c r="E1729" s="33"/>
      <c r="F1729" s="33"/>
    </row>
    <row r="1730" spans="1:6" ht="12.75">
      <c r="A1730" s="31"/>
      <c r="B1730" s="32"/>
      <c r="C1730" s="26"/>
      <c r="D1730" s="27"/>
      <c r="E1730" s="33"/>
      <c r="F1730" s="33"/>
    </row>
    <row r="1731" spans="1:6" ht="12.75">
      <c r="A1731" s="31"/>
      <c r="B1731" s="32"/>
      <c r="C1731" s="26"/>
      <c r="D1731" s="27"/>
      <c r="E1731" s="33"/>
      <c r="F1731" s="33"/>
    </row>
    <row r="1732" spans="1:6" ht="12.75">
      <c r="A1732" s="31"/>
      <c r="B1732" s="32"/>
      <c r="C1732" s="26"/>
      <c r="D1732" s="27"/>
      <c r="E1732" s="33"/>
      <c r="F1732" s="33"/>
    </row>
    <row r="1733" spans="1:6" ht="12.75">
      <c r="A1733" s="31"/>
      <c r="B1733" s="32"/>
      <c r="C1733" s="26"/>
      <c r="D1733" s="27"/>
      <c r="E1733" s="33"/>
      <c r="F1733" s="33"/>
    </row>
    <row r="1734" spans="1:6" ht="12.75">
      <c r="A1734" s="31"/>
      <c r="B1734" s="32"/>
      <c r="C1734" s="26"/>
      <c r="D1734" s="27"/>
      <c r="E1734" s="33"/>
      <c r="F1734" s="33"/>
    </row>
    <row r="1735" spans="1:6" ht="12.75">
      <c r="A1735" s="31"/>
      <c r="B1735" s="32"/>
      <c r="C1735" s="26"/>
      <c r="D1735" s="27"/>
      <c r="E1735" s="33"/>
      <c r="F1735" s="33"/>
    </row>
    <row r="1736" spans="1:6" ht="12.75">
      <c r="A1736" s="31"/>
      <c r="B1736" s="32"/>
      <c r="C1736" s="26"/>
      <c r="D1736" s="27"/>
      <c r="E1736" s="33"/>
      <c r="F1736" s="33"/>
    </row>
    <row r="1737" spans="1:6" ht="12.75">
      <c r="A1737" s="31"/>
      <c r="B1737" s="32"/>
      <c r="C1737" s="26"/>
      <c r="D1737" s="27"/>
      <c r="E1737" s="33"/>
      <c r="F1737" s="33"/>
    </row>
    <row r="1738" spans="1:6" ht="12.75">
      <c r="A1738" s="31"/>
      <c r="B1738" s="32"/>
      <c r="C1738" s="26"/>
      <c r="D1738" s="27"/>
      <c r="E1738" s="33"/>
      <c r="F1738" s="33"/>
    </row>
    <row r="1739" spans="1:6" ht="12.75">
      <c r="A1739" s="31"/>
      <c r="B1739" s="32"/>
      <c r="C1739" s="26"/>
      <c r="D1739" s="27"/>
      <c r="E1739" s="33"/>
      <c r="F1739" s="33"/>
    </row>
    <row r="1740" spans="1:6" ht="12.75">
      <c r="A1740" s="31"/>
      <c r="B1740" s="32"/>
      <c r="C1740" s="26"/>
      <c r="D1740" s="27"/>
      <c r="E1740" s="33"/>
      <c r="F1740" s="33"/>
    </row>
    <row r="1741" spans="1:6" ht="12.75">
      <c r="A1741" s="31"/>
      <c r="B1741" s="32"/>
      <c r="C1741" s="26"/>
      <c r="D1741" s="27"/>
      <c r="E1741" s="33"/>
      <c r="F1741" s="33"/>
    </row>
    <row r="1742" spans="1:6" ht="12.75">
      <c r="A1742" s="31"/>
      <c r="B1742" s="32"/>
      <c r="C1742" s="26"/>
      <c r="D1742" s="27"/>
      <c r="E1742" s="33"/>
      <c r="F1742" s="33"/>
    </row>
    <row r="1743" spans="1:6" ht="12.75">
      <c r="A1743" s="31"/>
      <c r="B1743" s="32"/>
      <c r="C1743" s="26"/>
      <c r="D1743" s="27"/>
      <c r="E1743" s="33"/>
      <c r="F1743" s="33"/>
    </row>
    <row r="1744" spans="1:6" ht="12.75">
      <c r="A1744" s="31"/>
      <c r="B1744" s="32"/>
      <c r="C1744" s="26"/>
      <c r="D1744" s="27"/>
      <c r="E1744" s="33"/>
      <c r="F1744" s="33"/>
    </row>
    <row r="1745" spans="1:6" ht="12.75">
      <c r="A1745" s="31"/>
      <c r="B1745" s="32"/>
      <c r="C1745" s="26"/>
      <c r="D1745" s="27"/>
      <c r="E1745" s="33"/>
      <c r="F1745" s="33"/>
    </row>
    <row r="1746" spans="1:6" ht="12.75">
      <c r="A1746" s="31"/>
      <c r="B1746" s="32"/>
      <c r="C1746" s="26"/>
      <c r="D1746" s="27"/>
      <c r="E1746" s="33"/>
      <c r="F1746" s="33"/>
    </row>
    <row r="1747" spans="1:6" ht="12.75">
      <c r="A1747" s="31"/>
      <c r="B1747" s="32"/>
      <c r="C1747" s="26"/>
      <c r="D1747" s="27"/>
      <c r="E1747" s="33"/>
      <c r="F1747" s="33"/>
    </row>
    <row r="1748" spans="1:6" ht="12.75">
      <c r="A1748" s="31"/>
      <c r="B1748" s="32"/>
      <c r="C1748" s="26"/>
      <c r="D1748" s="27"/>
      <c r="E1748" s="33"/>
      <c r="F1748" s="33"/>
    </row>
    <row r="1749" spans="1:6" ht="12.75">
      <c r="A1749" s="31"/>
      <c r="B1749" s="32"/>
      <c r="C1749" s="26"/>
      <c r="D1749" s="27"/>
      <c r="E1749" s="33"/>
      <c r="F1749" s="33"/>
    </row>
    <row r="1750" spans="1:6" ht="12.75">
      <c r="A1750" s="31"/>
      <c r="B1750" s="32"/>
      <c r="C1750" s="26"/>
      <c r="D1750" s="27"/>
      <c r="E1750" s="33"/>
      <c r="F1750" s="33"/>
    </row>
    <row r="1751" spans="1:6" ht="12.75">
      <c r="A1751" s="31"/>
      <c r="B1751" s="32"/>
      <c r="C1751" s="26"/>
      <c r="D1751" s="27"/>
      <c r="E1751" s="33"/>
      <c r="F1751" s="33"/>
    </row>
    <row r="1752" spans="1:6" ht="12.75">
      <c r="A1752" s="31"/>
      <c r="B1752" s="32"/>
      <c r="C1752" s="26"/>
      <c r="D1752" s="27"/>
      <c r="E1752" s="33"/>
      <c r="F1752" s="33"/>
    </row>
    <row r="1753" spans="1:6" ht="12.75">
      <c r="A1753" s="31"/>
      <c r="B1753" s="32"/>
      <c r="C1753" s="26"/>
      <c r="D1753" s="27"/>
      <c r="E1753" s="33"/>
      <c r="F1753" s="33"/>
    </row>
    <row r="1754" spans="1:6" ht="12.75">
      <c r="A1754" s="31"/>
      <c r="B1754" s="32"/>
      <c r="C1754" s="26"/>
      <c r="D1754" s="27"/>
      <c r="E1754" s="33"/>
      <c r="F1754" s="33"/>
    </row>
    <row r="1755" spans="1:6" ht="12.75">
      <c r="A1755" s="31"/>
      <c r="B1755" s="32"/>
      <c r="C1755" s="26"/>
      <c r="D1755" s="27"/>
      <c r="E1755" s="33"/>
      <c r="F1755" s="33"/>
    </row>
    <row r="1756" spans="1:6" ht="12.75">
      <c r="A1756" s="31"/>
      <c r="B1756" s="32"/>
      <c r="C1756" s="26"/>
      <c r="D1756" s="27"/>
      <c r="E1756" s="33"/>
      <c r="F1756" s="33"/>
    </row>
    <row r="1757" spans="1:6" ht="12.75">
      <c r="A1757" s="31"/>
      <c r="B1757" s="32"/>
      <c r="C1757" s="26"/>
      <c r="D1757" s="27"/>
      <c r="E1757" s="47"/>
      <c r="F1757" s="3"/>
    </row>
    <row r="1758" spans="1:6" ht="12.75">
      <c r="A1758" s="31"/>
      <c r="B1758" s="32"/>
      <c r="C1758" s="26"/>
      <c r="D1758" s="27"/>
      <c r="E1758" s="33"/>
      <c r="F1758" s="33"/>
    </row>
    <row r="1759" spans="1:6" ht="12.75">
      <c r="A1759" s="4"/>
      <c r="B1759" s="1"/>
      <c r="C1759" s="2"/>
      <c r="D1759" s="3"/>
      <c r="E1759" s="40"/>
      <c r="F1759" s="27"/>
    </row>
    <row r="1760" spans="1:6" ht="12.75">
      <c r="A1760" s="31"/>
      <c r="B1760" s="32"/>
      <c r="C1760" s="26"/>
      <c r="D1760" s="27"/>
      <c r="E1760" s="33"/>
      <c r="F1760" s="33"/>
    </row>
    <row r="1761" spans="1:6" ht="12.75">
      <c r="A1761" s="4"/>
      <c r="B1761" s="1"/>
      <c r="C1761" s="50"/>
      <c r="D1761" s="27"/>
      <c r="E1761" s="33"/>
      <c r="F1761" s="33"/>
    </row>
    <row r="1762" spans="1:6" ht="12.75">
      <c r="A1762" s="31"/>
      <c r="B1762" s="32"/>
      <c r="C1762" s="26"/>
      <c r="D1762" s="27"/>
      <c r="E1762" s="33"/>
      <c r="F1762" s="33"/>
    </row>
    <row r="1763" spans="1:6" ht="12.75">
      <c r="A1763" s="31"/>
      <c r="B1763" s="32"/>
      <c r="C1763" s="26"/>
      <c r="D1763" s="27"/>
      <c r="E1763" s="33"/>
      <c r="F1763" s="33"/>
    </row>
    <row r="1764" spans="1:6" ht="12.75">
      <c r="A1764" s="31"/>
      <c r="B1764" s="32"/>
      <c r="C1764" s="26"/>
      <c r="D1764" s="27"/>
      <c r="E1764" s="33"/>
      <c r="F1764" s="33"/>
    </row>
    <row r="1765" spans="1:6" ht="12.75">
      <c r="A1765" s="31"/>
      <c r="B1765" s="32"/>
      <c r="C1765" s="26"/>
      <c r="D1765" s="27"/>
      <c r="E1765" s="33"/>
      <c r="F1765" s="33"/>
    </row>
    <row r="1766" spans="1:6" ht="12.75">
      <c r="A1766" s="31"/>
      <c r="B1766" s="32"/>
      <c r="C1766" s="26"/>
      <c r="D1766" s="27"/>
      <c r="E1766" s="33"/>
      <c r="F1766" s="33"/>
    </row>
    <row r="1767" spans="1:6" ht="12.75">
      <c r="A1767" s="31"/>
      <c r="B1767" s="32"/>
      <c r="C1767" s="26"/>
      <c r="D1767" s="27"/>
      <c r="E1767" s="33"/>
      <c r="F1767" s="33"/>
    </row>
    <row r="1768" spans="1:6" ht="12.75">
      <c r="A1768" s="31"/>
      <c r="B1768" s="32"/>
      <c r="C1768" s="26"/>
      <c r="D1768" s="27"/>
      <c r="E1768" s="33"/>
      <c r="F1768" s="33"/>
    </row>
    <row r="1769" spans="1:6" ht="12.75">
      <c r="A1769" s="31"/>
      <c r="B1769" s="32"/>
      <c r="C1769" s="26"/>
      <c r="D1769" s="27"/>
      <c r="E1769" s="47"/>
      <c r="F1769" s="3"/>
    </row>
    <row r="1770" spans="1:6" ht="12.75">
      <c r="A1770" s="31"/>
      <c r="B1770" s="32"/>
      <c r="C1770" s="26"/>
      <c r="D1770" s="27"/>
      <c r="E1770" s="33"/>
      <c r="F1770" s="33"/>
    </row>
    <row r="1771" spans="1:6" ht="12.75">
      <c r="A1771" s="4"/>
      <c r="B1771" s="1"/>
      <c r="C1771" s="2"/>
      <c r="D1771" s="3"/>
      <c r="E1771" s="33"/>
      <c r="F1771" s="33"/>
    </row>
    <row r="1772" spans="1:6" ht="12.75">
      <c r="A1772" s="31"/>
      <c r="B1772" s="32"/>
      <c r="C1772" s="26"/>
      <c r="D1772" s="27"/>
      <c r="E1772" s="33"/>
      <c r="F1772" s="33"/>
    </row>
    <row r="1773" spans="1:6" ht="12.75">
      <c r="A1773" s="4"/>
      <c r="B1773" s="1"/>
      <c r="C1773" s="26"/>
      <c r="D1773" s="27"/>
      <c r="E1773" s="33"/>
      <c r="F1773" s="33"/>
    </row>
    <row r="1774" spans="1:6" ht="12.75">
      <c r="A1774" s="31"/>
      <c r="B1774" s="32"/>
      <c r="C1774" s="26"/>
      <c r="D1774" s="27"/>
      <c r="E1774" s="33"/>
      <c r="F1774" s="33"/>
    </row>
    <row r="1775" spans="1:6" ht="12.75">
      <c r="A1775" s="31"/>
      <c r="B1775" s="32"/>
      <c r="C1775" s="26"/>
      <c r="D1775" s="27"/>
      <c r="E1775" s="33"/>
      <c r="F1775" s="33"/>
    </row>
    <row r="1776" spans="1:6" ht="12.75">
      <c r="A1776" s="31"/>
      <c r="B1776" s="32"/>
      <c r="C1776" s="26"/>
      <c r="D1776" s="27"/>
      <c r="E1776" s="33"/>
      <c r="F1776" s="33"/>
    </row>
    <row r="1777" spans="1:6" ht="12.75">
      <c r="A1777" s="31"/>
      <c r="B1777" s="32"/>
      <c r="C1777" s="26"/>
      <c r="D1777" s="27"/>
      <c r="E1777" s="33"/>
      <c r="F1777" s="33"/>
    </row>
    <row r="1778" spans="1:6" ht="12.75">
      <c r="A1778" s="31"/>
      <c r="B1778" s="32"/>
      <c r="C1778" s="26"/>
      <c r="D1778" s="27"/>
      <c r="E1778" s="33"/>
      <c r="F1778" s="33"/>
    </row>
    <row r="1779" spans="1:6" ht="12.75">
      <c r="A1779" s="31"/>
      <c r="B1779" s="32"/>
      <c r="C1779" s="26"/>
      <c r="D1779" s="27"/>
      <c r="E1779" s="33"/>
      <c r="F1779" s="33"/>
    </row>
    <row r="1780" spans="1:6" ht="12.75">
      <c r="A1780" s="31"/>
      <c r="B1780" s="32"/>
      <c r="C1780" s="26"/>
      <c r="D1780" s="27"/>
      <c r="E1780" s="33"/>
      <c r="F1780" s="33"/>
    </row>
    <row r="1781" spans="1:6" ht="12.75">
      <c r="A1781" s="31"/>
      <c r="B1781" s="32"/>
      <c r="C1781" s="26"/>
      <c r="D1781" s="27"/>
      <c r="E1781" s="33"/>
      <c r="F1781" s="33"/>
    </row>
    <row r="1782" spans="1:6" ht="12.75">
      <c r="A1782" s="31"/>
      <c r="B1782" s="32"/>
      <c r="C1782" s="26"/>
      <c r="D1782" s="27"/>
      <c r="E1782" s="33"/>
      <c r="F1782" s="33"/>
    </row>
    <row r="1783" spans="1:6" ht="12.75">
      <c r="A1783" s="31"/>
      <c r="B1783" s="32"/>
      <c r="C1783" s="26"/>
      <c r="D1783" s="27"/>
      <c r="E1783" s="33"/>
      <c r="F1783" s="33"/>
    </row>
    <row r="1784" spans="1:6" ht="12.75">
      <c r="A1784" s="31"/>
      <c r="B1784" s="32"/>
      <c r="C1784" s="26"/>
      <c r="D1784" s="27"/>
      <c r="E1784" s="33"/>
      <c r="F1784" s="33"/>
    </row>
    <row r="1785" spans="1:6" ht="12.75">
      <c r="A1785" s="31"/>
      <c r="B1785" s="32"/>
      <c r="C1785" s="26"/>
      <c r="D1785" s="27"/>
      <c r="E1785" s="33"/>
      <c r="F1785" s="33"/>
    </row>
    <row r="1786" spans="1:6" ht="12.75">
      <c r="A1786" s="31"/>
      <c r="B1786" s="32"/>
      <c r="C1786" s="26"/>
      <c r="D1786" s="27"/>
      <c r="E1786" s="33"/>
      <c r="F1786" s="33"/>
    </row>
    <row r="1787" spans="1:6" ht="12.75">
      <c r="A1787" s="31"/>
      <c r="B1787" s="32"/>
      <c r="C1787" s="26"/>
      <c r="D1787" s="27"/>
      <c r="E1787" s="33"/>
      <c r="F1787" s="33"/>
    </row>
    <row r="1788" spans="1:6" ht="12.75">
      <c r="A1788" s="31"/>
      <c r="B1788" s="32"/>
      <c r="C1788" s="26"/>
      <c r="D1788" s="27"/>
      <c r="E1788" s="33"/>
      <c r="F1788" s="33"/>
    </row>
    <row r="1789" spans="1:6" ht="12.75">
      <c r="A1789" s="31"/>
      <c r="B1789" s="32"/>
      <c r="C1789" s="26"/>
      <c r="D1789" s="27"/>
      <c r="E1789" s="47"/>
      <c r="F1789" s="3"/>
    </row>
    <row r="1790" spans="1:6" ht="12.75">
      <c r="A1790" s="31"/>
      <c r="B1790" s="32"/>
      <c r="C1790" s="26"/>
      <c r="D1790" s="27"/>
      <c r="E1790" s="33"/>
      <c r="F1790" s="33"/>
    </row>
    <row r="1791" spans="1:6" ht="12.75">
      <c r="A1791" s="4"/>
      <c r="B1791" s="1"/>
      <c r="C1791" s="2"/>
      <c r="D1791" s="3"/>
      <c r="E1791" s="40"/>
      <c r="F1791" s="27"/>
    </row>
    <row r="1792" spans="1:6" ht="12.75">
      <c r="A1792" s="31"/>
      <c r="B1792" s="32"/>
      <c r="C1792" s="26"/>
      <c r="D1792" s="27"/>
      <c r="E1792" s="33"/>
      <c r="F1792" s="33"/>
    </row>
    <row r="1793" spans="1:6" ht="12.75">
      <c r="A1793" s="4"/>
      <c r="B1793" s="1"/>
      <c r="C1793" s="50"/>
      <c r="D1793" s="27"/>
      <c r="E1793" s="33"/>
      <c r="F1793" s="33"/>
    </row>
    <row r="1794" spans="1:6" ht="12.75">
      <c r="A1794" s="31"/>
      <c r="B1794" s="32"/>
      <c r="C1794" s="26"/>
      <c r="D1794" s="27"/>
      <c r="E1794" s="33"/>
      <c r="F1794" s="33"/>
    </row>
    <row r="1795" spans="1:6" ht="12.75">
      <c r="A1795" s="31"/>
      <c r="B1795" s="32"/>
      <c r="C1795" s="26"/>
      <c r="D1795" s="27"/>
      <c r="E1795" s="33"/>
      <c r="F1795" s="33"/>
    </row>
    <row r="1796" spans="1:6" ht="12.75">
      <c r="A1796" s="31"/>
      <c r="B1796" s="32"/>
      <c r="C1796" s="26"/>
      <c r="D1796" s="27"/>
      <c r="E1796" s="33"/>
      <c r="F1796" s="33"/>
    </row>
    <row r="1797" spans="1:6" ht="12.75">
      <c r="A1797" s="31"/>
      <c r="B1797" s="32"/>
      <c r="C1797" s="26"/>
      <c r="D1797" s="27"/>
      <c r="E1797" s="47"/>
      <c r="F1797" s="3"/>
    </row>
    <row r="1798" spans="1:6" ht="12.75">
      <c r="A1798" s="31"/>
      <c r="B1798" s="32"/>
      <c r="C1798" s="26"/>
      <c r="D1798" s="27"/>
      <c r="E1798" s="47"/>
      <c r="F1798" s="3"/>
    </row>
    <row r="1799" spans="1:6" ht="12.75">
      <c r="A1799" s="4"/>
      <c r="B1799" s="1"/>
      <c r="C1799" s="2"/>
      <c r="D1799" s="3"/>
      <c r="E1799" s="47"/>
      <c r="F1799" s="3"/>
    </row>
    <row r="1800" spans="1:6" ht="12.75">
      <c r="A1800" s="4"/>
      <c r="B1800" s="1"/>
      <c r="C1800" s="2"/>
      <c r="D1800" s="3"/>
      <c r="E1800" s="47"/>
      <c r="F1800" s="3"/>
    </row>
    <row r="1801" spans="1:6" ht="12.75">
      <c r="A1801" s="4"/>
      <c r="B1801" s="1"/>
      <c r="C1801" s="2"/>
      <c r="D1801" s="3"/>
      <c r="E1801" s="47"/>
      <c r="F1801" s="3"/>
    </row>
    <row r="1802" spans="1:6" ht="12.75">
      <c r="A1802" s="4"/>
      <c r="B1802" s="1"/>
      <c r="C1802" s="2"/>
      <c r="D1802" s="3"/>
      <c r="E1802" s="47"/>
      <c r="F1802" s="3"/>
    </row>
    <row r="1803" spans="1:6" ht="12.75">
      <c r="A1803" s="31"/>
      <c r="B1803" s="41"/>
      <c r="C1803" s="2"/>
      <c r="D1803" s="3"/>
      <c r="E1803" s="33"/>
      <c r="F1803" s="33"/>
    </row>
    <row r="1804" spans="1:6" ht="12.75">
      <c r="A1804" s="31"/>
      <c r="B1804" s="41"/>
      <c r="C1804" s="2"/>
      <c r="D1804" s="3"/>
      <c r="E1804" s="33"/>
      <c r="F1804" s="33"/>
    </row>
    <row r="1805" spans="1:6" ht="12.75">
      <c r="A1805" s="31"/>
      <c r="B1805" s="32"/>
      <c r="C1805" s="26"/>
      <c r="D1805" s="27"/>
      <c r="E1805" s="47"/>
      <c r="F1805" s="3"/>
    </row>
    <row r="1806" spans="1:6" ht="12.75">
      <c r="A1806" s="31"/>
      <c r="B1806" s="32"/>
      <c r="C1806" s="26"/>
      <c r="D1806" s="27"/>
      <c r="E1806" s="33"/>
      <c r="F1806" s="33"/>
    </row>
    <row r="1807" spans="1:6" ht="12.75">
      <c r="A1807" s="4"/>
      <c r="B1807" s="1"/>
      <c r="C1807" s="2"/>
      <c r="D1807" s="3"/>
      <c r="E1807" s="40"/>
      <c r="F1807" s="27"/>
    </row>
    <row r="1808" spans="1:6" ht="12.75">
      <c r="A1808" s="31"/>
      <c r="B1808" s="32"/>
      <c r="C1808" s="26"/>
      <c r="D1808" s="27"/>
      <c r="E1808" s="33"/>
      <c r="F1808" s="33"/>
    </row>
    <row r="1809" spans="1:6" ht="12.75">
      <c r="A1809" s="4"/>
      <c r="B1809" s="1"/>
      <c r="C1809" s="50"/>
      <c r="D1809" s="27"/>
      <c r="E1809" s="33"/>
      <c r="F1809" s="33"/>
    </row>
    <row r="1810" spans="1:6" ht="12.75">
      <c r="A1810" s="31"/>
      <c r="B1810" s="32"/>
      <c r="C1810" s="26"/>
      <c r="D1810" s="27"/>
      <c r="E1810" s="33"/>
      <c r="F1810" s="33"/>
    </row>
    <row r="1811" spans="1:6" ht="12.75">
      <c r="A1811" s="31"/>
      <c r="B1811" s="32"/>
      <c r="C1811" s="26"/>
      <c r="D1811" s="27"/>
      <c r="E1811" s="33"/>
      <c r="F1811" s="33"/>
    </row>
    <row r="1812" spans="1:6" ht="12.75">
      <c r="A1812" s="31"/>
      <c r="B1812" s="32"/>
      <c r="C1812" s="26"/>
      <c r="D1812" s="27"/>
      <c r="E1812" s="33"/>
      <c r="F1812" s="33"/>
    </row>
    <row r="1813" spans="1:6" ht="12.75">
      <c r="A1813" s="31"/>
      <c r="B1813" s="32"/>
      <c r="C1813" s="26"/>
      <c r="D1813" s="27"/>
      <c r="E1813" s="33"/>
      <c r="F1813" s="33"/>
    </row>
    <row r="1814" spans="1:6" ht="12.75">
      <c r="A1814" s="31"/>
      <c r="B1814" s="32"/>
      <c r="C1814" s="26"/>
      <c r="D1814" s="27"/>
      <c r="E1814" s="33"/>
      <c r="F1814" s="33"/>
    </row>
    <row r="1815" spans="1:6" ht="12.75">
      <c r="A1815" s="31"/>
      <c r="B1815" s="32"/>
      <c r="C1815" s="26"/>
      <c r="D1815" s="27"/>
      <c r="E1815" s="33"/>
      <c r="F1815" s="33"/>
    </row>
    <row r="1816" spans="1:6" ht="12.75">
      <c r="A1816" s="31"/>
      <c r="B1816" s="32"/>
      <c r="C1816" s="26"/>
      <c r="D1816" s="27"/>
      <c r="E1816" s="33"/>
      <c r="F1816" s="33"/>
    </row>
    <row r="1817" spans="1:6" ht="12.75">
      <c r="A1817" s="31"/>
      <c r="B1817" s="32"/>
      <c r="C1817" s="26"/>
      <c r="D1817" s="27"/>
      <c r="E1817" s="33"/>
      <c r="F1817" s="33"/>
    </row>
    <row r="1818" spans="1:6" ht="12.75">
      <c r="A1818" s="31"/>
      <c r="B1818" s="32"/>
      <c r="C1818" s="26"/>
      <c r="D1818" s="27"/>
      <c r="E1818" s="33"/>
      <c r="F1818" s="33"/>
    </row>
    <row r="1819" spans="1:6" ht="12.75">
      <c r="A1819" s="31"/>
      <c r="B1819" s="32"/>
      <c r="C1819" s="26"/>
      <c r="D1819" s="27"/>
      <c r="E1819" s="33"/>
      <c r="F1819" s="33"/>
    </row>
    <row r="1820" spans="1:6" ht="12.75">
      <c r="A1820" s="31"/>
      <c r="B1820" s="32"/>
      <c r="C1820" s="26"/>
      <c r="D1820" s="27"/>
      <c r="E1820" s="33"/>
      <c r="F1820" s="33"/>
    </row>
    <row r="1821" spans="1:6" ht="12.75">
      <c r="A1821" s="31"/>
      <c r="B1821" s="32"/>
      <c r="C1821" s="26"/>
      <c r="D1821" s="27"/>
      <c r="E1821" s="33"/>
      <c r="F1821" s="33"/>
    </row>
    <row r="1822" spans="1:6" ht="12.75">
      <c r="A1822" s="31"/>
      <c r="B1822" s="32"/>
      <c r="C1822" s="26"/>
      <c r="D1822" s="27"/>
      <c r="E1822" s="33"/>
      <c r="F1822" s="33"/>
    </row>
    <row r="1823" spans="1:6" ht="12.75">
      <c r="A1823" s="31"/>
      <c r="B1823" s="32"/>
      <c r="C1823" s="26"/>
      <c r="D1823" s="27"/>
      <c r="E1823" s="33"/>
      <c r="F1823" s="33"/>
    </row>
    <row r="1824" spans="1:6" ht="12.75">
      <c r="A1824" s="31"/>
      <c r="B1824" s="32"/>
      <c r="C1824" s="26"/>
      <c r="D1824" s="27"/>
      <c r="E1824" s="33"/>
      <c r="F1824" s="33"/>
    </row>
    <row r="1825" spans="1:6" ht="12.75">
      <c r="A1825" s="31"/>
      <c r="B1825" s="32"/>
      <c r="C1825" s="26"/>
      <c r="D1825" s="27"/>
      <c r="E1825" s="33"/>
      <c r="F1825" s="33"/>
    </row>
    <row r="1826" spans="1:6" ht="12.75">
      <c r="A1826" s="31"/>
      <c r="B1826" s="32"/>
      <c r="C1826" s="26"/>
      <c r="D1826" s="27"/>
      <c r="E1826" s="33"/>
      <c r="F1826" s="33"/>
    </row>
    <row r="1827" spans="1:6" ht="12.75">
      <c r="A1827" s="31"/>
      <c r="B1827" s="32"/>
      <c r="C1827" s="26"/>
      <c r="D1827" s="27"/>
      <c r="E1827" s="33"/>
      <c r="F1827" s="33"/>
    </row>
    <row r="1828" spans="1:6" ht="12.75">
      <c r="A1828" s="31"/>
      <c r="B1828" s="32"/>
      <c r="C1828" s="26"/>
      <c r="D1828" s="27"/>
      <c r="E1828" s="33"/>
      <c r="F1828" s="33"/>
    </row>
    <row r="1829" spans="1:6" ht="12.75">
      <c r="A1829" s="31"/>
      <c r="B1829" s="32"/>
      <c r="C1829" s="26"/>
      <c r="D1829" s="27"/>
      <c r="E1829" s="33"/>
      <c r="F1829" s="33"/>
    </row>
    <row r="1830" spans="1:6" ht="12.75">
      <c r="A1830" s="31"/>
      <c r="B1830" s="32"/>
      <c r="C1830" s="26"/>
      <c r="D1830" s="27"/>
      <c r="E1830" s="33"/>
      <c r="F1830" s="33"/>
    </row>
    <row r="1831" spans="1:6" ht="12.75">
      <c r="A1831" s="31"/>
      <c r="B1831" s="32"/>
      <c r="C1831" s="26"/>
      <c r="D1831" s="27"/>
      <c r="E1831" s="33"/>
      <c r="F1831" s="33"/>
    </row>
    <row r="1832" spans="1:6" ht="12.75">
      <c r="A1832" s="31"/>
      <c r="B1832" s="32"/>
      <c r="C1832" s="26"/>
      <c r="D1832" s="27"/>
      <c r="E1832" s="33"/>
      <c r="F1832" s="33"/>
    </row>
    <row r="1833" spans="1:6" ht="12.75">
      <c r="A1833" s="31"/>
      <c r="B1833" s="32"/>
      <c r="C1833" s="26"/>
      <c r="D1833" s="27"/>
      <c r="E1833" s="33"/>
      <c r="F1833" s="33"/>
    </row>
    <row r="1834" spans="1:6" ht="12.75">
      <c r="A1834" s="31"/>
      <c r="B1834" s="32"/>
      <c r="C1834" s="26"/>
      <c r="D1834" s="27"/>
      <c r="E1834" s="33"/>
      <c r="F1834" s="33"/>
    </row>
    <row r="1835" spans="1:6" ht="12.75">
      <c r="A1835" s="31"/>
      <c r="B1835" s="32"/>
      <c r="C1835" s="26"/>
      <c r="D1835" s="27"/>
      <c r="E1835" s="33"/>
      <c r="F1835" s="33"/>
    </row>
    <row r="1836" spans="1:6" ht="12.75">
      <c r="A1836" s="31"/>
      <c r="B1836" s="32"/>
      <c r="C1836" s="26"/>
      <c r="D1836" s="27"/>
      <c r="E1836" s="33"/>
      <c r="F1836" s="33"/>
    </row>
    <row r="1837" spans="1:6" ht="12.75">
      <c r="A1837" s="31"/>
      <c r="B1837" s="32"/>
      <c r="C1837" s="26"/>
      <c r="D1837" s="27"/>
      <c r="E1837" s="47"/>
      <c r="F1837" s="3"/>
    </row>
    <row r="1838" spans="1:6" ht="12.75">
      <c r="A1838" s="31"/>
      <c r="B1838" s="32"/>
      <c r="C1838" s="26"/>
      <c r="D1838" s="27"/>
      <c r="E1838" s="33"/>
      <c r="F1838" s="33"/>
    </row>
    <row r="1839" spans="1:6" ht="12.75">
      <c r="A1839" s="4"/>
      <c r="B1839" s="1"/>
      <c r="C1839" s="2"/>
      <c r="D1839" s="3"/>
      <c r="E1839" s="40"/>
      <c r="F1839" s="27"/>
    </row>
    <row r="1840" spans="1:6" ht="12.75">
      <c r="A1840" s="31"/>
      <c r="B1840" s="32"/>
      <c r="C1840" s="26"/>
      <c r="D1840" s="27"/>
      <c r="E1840" s="33"/>
      <c r="F1840" s="33"/>
    </row>
    <row r="1841" spans="1:6" ht="12.75">
      <c r="A1841" s="4"/>
      <c r="B1841" s="1"/>
      <c r="C1841" s="50"/>
      <c r="D1841" s="27"/>
      <c r="E1841" s="40"/>
      <c r="F1841" s="3"/>
    </row>
    <row r="1842" spans="1:6" ht="12.75">
      <c r="A1842" s="31"/>
      <c r="B1842" s="32"/>
      <c r="C1842" s="26"/>
      <c r="D1842" s="27"/>
      <c r="E1842" s="40"/>
      <c r="F1842" s="3"/>
    </row>
    <row r="1843" spans="1:6" ht="12.75">
      <c r="A1843" s="31"/>
      <c r="B1843" s="41"/>
      <c r="C1843" s="50"/>
      <c r="D1843" s="27"/>
      <c r="E1843" s="40"/>
      <c r="F1843" s="3"/>
    </row>
    <row r="1844" spans="1:6" ht="12.75">
      <c r="A1844" s="31"/>
      <c r="B1844" s="41"/>
      <c r="C1844" s="50"/>
      <c r="D1844" s="27"/>
      <c r="E1844" s="40"/>
      <c r="F1844" s="3"/>
    </row>
    <row r="1845" spans="1:6" ht="12.75">
      <c r="A1845" s="31"/>
      <c r="B1845" s="41"/>
      <c r="C1845" s="50"/>
      <c r="D1845" s="27"/>
      <c r="E1845" s="40"/>
      <c r="F1845" s="3"/>
    </row>
    <row r="1846" spans="1:6" ht="12.75">
      <c r="A1846" s="31"/>
      <c r="B1846" s="41"/>
      <c r="C1846" s="50"/>
      <c r="D1846" s="27"/>
      <c r="E1846" s="40"/>
      <c r="F1846" s="3"/>
    </row>
    <row r="1847" spans="1:6" ht="12.75">
      <c r="A1847" s="31"/>
      <c r="B1847" s="41"/>
      <c r="C1847" s="50"/>
      <c r="D1847" s="27"/>
      <c r="E1847" s="40"/>
      <c r="F1847" s="3"/>
    </row>
    <row r="1848" spans="1:6" ht="12.75">
      <c r="A1848" s="31"/>
      <c r="B1848" s="41"/>
      <c r="C1848" s="50"/>
      <c r="D1848" s="27"/>
      <c r="E1848" s="40"/>
      <c r="F1848" s="3"/>
    </row>
    <row r="1849" spans="1:6" ht="12.75">
      <c r="A1849" s="31"/>
      <c r="B1849" s="41"/>
      <c r="C1849" s="50"/>
      <c r="D1849" s="27"/>
      <c r="E1849" s="40"/>
      <c r="F1849" s="3"/>
    </row>
    <row r="1850" spans="1:6" ht="12.75">
      <c r="A1850" s="31"/>
      <c r="B1850" s="41"/>
      <c r="C1850" s="50"/>
      <c r="D1850" s="27"/>
      <c r="E1850" s="40"/>
      <c r="F1850" s="3"/>
    </row>
    <row r="1851" spans="1:6" ht="12.75">
      <c r="A1851" s="31"/>
      <c r="B1851" s="41"/>
      <c r="C1851" s="50"/>
      <c r="D1851" s="27"/>
      <c r="E1851" s="40"/>
      <c r="F1851" s="3"/>
    </row>
    <row r="1852" spans="1:6" ht="12.75">
      <c r="A1852" s="31"/>
      <c r="B1852" s="41"/>
      <c r="C1852" s="50"/>
      <c r="D1852" s="27"/>
      <c r="E1852" s="40"/>
      <c r="F1852" s="3"/>
    </row>
    <row r="1853" spans="1:6" ht="12.75">
      <c r="A1853" s="31"/>
      <c r="B1853" s="41"/>
      <c r="C1853" s="50"/>
      <c r="D1853" s="27"/>
      <c r="E1853" s="40"/>
      <c r="F1853" s="3"/>
    </row>
    <row r="1854" spans="1:6" ht="12.75">
      <c r="A1854" s="31"/>
      <c r="B1854" s="41"/>
      <c r="C1854" s="50"/>
      <c r="D1854" s="27"/>
      <c r="E1854" s="40"/>
      <c r="F1854" s="3"/>
    </row>
    <row r="1855" spans="1:6" ht="12.75">
      <c r="A1855" s="31"/>
      <c r="B1855" s="41"/>
      <c r="C1855" s="50"/>
      <c r="D1855" s="27"/>
      <c r="E1855" s="40"/>
      <c r="F1855" s="3"/>
    </row>
    <row r="1856" spans="1:6" ht="12.75">
      <c r="A1856" s="31"/>
      <c r="B1856" s="41"/>
      <c r="C1856" s="50"/>
      <c r="D1856" s="27"/>
      <c r="E1856" s="40"/>
      <c r="F1856" s="3"/>
    </row>
    <row r="1857" spans="1:6" ht="12.75">
      <c r="A1857" s="31"/>
      <c r="B1857" s="41"/>
      <c r="C1857" s="50"/>
      <c r="D1857" s="27"/>
      <c r="E1857" s="40"/>
      <c r="F1857" s="3"/>
    </row>
    <row r="1858" spans="1:6" ht="12.75">
      <c r="A1858" s="31"/>
      <c r="B1858" s="41"/>
      <c r="C1858" s="50"/>
      <c r="D1858" s="27"/>
      <c r="E1858" s="40"/>
      <c r="F1858" s="3"/>
    </row>
    <row r="1859" spans="1:6" ht="12.75">
      <c r="A1859" s="31"/>
      <c r="B1859" s="41"/>
      <c r="C1859" s="50"/>
      <c r="D1859" s="27"/>
      <c r="E1859" s="40"/>
      <c r="F1859" s="3"/>
    </row>
    <row r="1860" spans="1:6" ht="12.75">
      <c r="A1860" s="31"/>
      <c r="B1860" s="41"/>
      <c r="C1860" s="50"/>
      <c r="D1860" s="27"/>
      <c r="E1860" s="40"/>
      <c r="F1860" s="3"/>
    </row>
    <row r="1861" spans="1:6" ht="12.75">
      <c r="A1861" s="31"/>
      <c r="B1861" s="41"/>
      <c r="C1861" s="50"/>
      <c r="D1861" s="27"/>
      <c r="E1861" s="47"/>
      <c r="F1861" s="3"/>
    </row>
    <row r="1862" spans="1:6" ht="12.75">
      <c r="A1862" s="31"/>
      <c r="B1862" s="41"/>
      <c r="C1862" s="50"/>
      <c r="D1862" s="27"/>
      <c r="E1862" s="48"/>
      <c r="F1862" s="48"/>
    </row>
    <row r="1863" spans="1:6" ht="12.75">
      <c r="A1863" s="31"/>
      <c r="B1863" s="1"/>
      <c r="C1863" s="2"/>
      <c r="D1863" s="3"/>
      <c r="E1863" s="48"/>
      <c r="F1863" s="48"/>
    </row>
    <row r="1864" spans="1:6" ht="12.75">
      <c r="A1864" s="42"/>
      <c r="B1864" s="43"/>
      <c r="C1864" s="51"/>
      <c r="D1864" s="52"/>
      <c r="E1864" s="48"/>
      <c r="F1864" s="48"/>
    </row>
    <row r="1865" spans="1:6" ht="12.75">
      <c r="A1865" s="42"/>
      <c r="B1865" s="43"/>
      <c r="C1865" s="51"/>
      <c r="D1865" s="52"/>
      <c r="E1865" s="48"/>
      <c r="F1865" s="48"/>
    </row>
    <row r="1866" spans="1:6" ht="12.75">
      <c r="A1866" s="42"/>
      <c r="B1866" s="43"/>
      <c r="C1866" s="51"/>
      <c r="D1866" s="52"/>
      <c r="E1866" s="48"/>
      <c r="F1866" s="48"/>
    </row>
    <row r="1867" spans="1:6" ht="12.75">
      <c r="A1867" s="42"/>
      <c r="B1867" s="43"/>
      <c r="C1867" s="51"/>
      <c r="D1867" s="52"/>
      <c r="E1867" s="48"/>
      <c r="F1867" s="48"/>
    </row>
    <row r="1868" spans="1:6" ht="12.75">
      <c r="A1868" s="42"/>
      <c r="B1868" s="43"/>
      <c r="C1868" s="51"/>
      <c r="D1868" s="52"/>
      <c r="E1868" s="48"/>
      <c r="F1868" s="48"/>
    </row>
    <row r="1869" spans="1:6" ht="12.75">
      <c r="A1869" s="42"/>
      <c r="B1869" s="43"/>
      <c r="C1869" s="51"/>
      <c r="D1869" s="52"/>
      <c r="E1869" s="48"/>
      <c r="F1869" s="48"/>
    </row>
    <row r="1870" spans="1:6" ht="12.75">
      <c r="A1870" s="42"/>
      <c r="B1870" s="43"/>
      <c r="C1870" s="51"/>
      <c r="D1870" s="52"/>
      <c r="E1870" s="48"/>
      <c r="F1870" s="48"/>
    </row>
    <row r="1871" spans="1:6" ht="12.75">
      <c r="A1871" s="42"/>
      <c r="B1871" s="43"/>
      <c r="C1871" s="51"/>
      <c r="D1871" s="52"/>
      <c r="E1871" s="48"/>
      <c r="F1871" s="48"/>
    </row>
    <row r="1872" spans="1:6" ht="12.75">
      <c r="A1872" s="42"/>
      <c r="B1872" s="43"/>
      <c r="C1872" s="51"/>
      <c r="D1872" s="52"/>
      <c r="E1872" s="48"/>
      <c r="F1872" s="48"/>
    </row>
    <row r="1873" spans="1:6" ht="12.75">
      <c r="A1873" s="42"/>
      <c r="B1873" s="43"/>
      <c r="C1873" s="51"/>
      <c r="D1873" s="52"/>
      <c r="E1873" s="48"/>
      <c r="F1873" s="48"/>
    </row>
    <row r="1874" spans="1:6" ht="12.75">
      <c r="A1874" s="42"/>
      <c r="B1874" s="43"/>
      <c r="C1874" s="51"/>
      <c r="D1874" s="52"/>
      <c r="E1874" s="48"/>
      <c r="F1874" s="48"/>
    </row>
    <row r="1875" spans="1:6" ht="12.75">
      <c r="A1875" s="42"/>
      <c r="B1875" s="43"/>
      <c r="C1875" s="51"/>
      <c r="D1875" s="52"/>
      <c r="E1875" s="48"/>
      <c r="F1875" s="48"/>
    </row>
    <row r="1876" spans="1:6" ht="12.75">
      <c r="A1876" s="42"/>
      <c r="B1876" s="43"/>
      <c r="C1876" s="51"/>
      <c r="D1876" s="52"/>
      <c r="E1876" s="48"/>
      <c r="F1876" s="48"/>
    </row>
    <row r="1877" spans="1:6" ht="12.75">
      <c r="A1877" s="42"/>
      <c r="B1877" s="43"/>
      <c r="C1877" s="51"/>
      <c r="D1877" s="52"/>
      <c r="E1877" s="48"/>
      <c r="F1877" s="48"/>
    </row>
    <row r="1878" spans="1:6" ht="12.75">
      <c r="A1878" s="42"/>
      <c r="B1878" s="43"/>
      <c r="C1878" s="51"/>
      <c r="D1878" s="52"/>
      <c r="E1878" s="48"/>
      <c r="F1878" s="48"/>
    </row>
    <row r="1879" spans="1:6" ht="12.75">
      <c r="A1879" s="42"/>
      <c r="B1879" s="43"/>
      <c r="C1879" s="51"/>
      <c r="D1879" s="52"/>
      <c r="E1879" s="48"/>
      <c r="F1879" s="48"/>
    </row>
    <row r="1880" spans="1:6" ht="12.75">
      <c r="A1880" s="42"/>
      <c r="B1880" s="43"/>
      <c r="C1880" s="51"/>
      <c r="D1880" s="52"/>
      <c r="E1880" s="48"/>
      <c r="F1880" s="48"/>
    </row>
    <row r="1881" spans="1:6" ht="12.75">
      <c r="A1881" s="42"/>
      <c r="B1881" s="43"/>
      <c r="C1881" s="51"/>
      <c r="D1881" s="52"/>
      <c r="E1881" s="48"/>
      <c r="F1881" s="48"/>
    </row>
    <row r="1882" spans="1:6" ht="12.75">
      <c r="A1882" s="42"/>
      <c r="B1882" s="43"/>
      <c r="C1882" s="51"/>
      <c r="D1882" s="52"/>
      <c r="E1882" s="48"/>
      <c r="F1882" s="48"/>
    </row>
    <row r="1883" spans="1:6" ht="12.75">
      <c r="A1883" s="42"/>
      <c r="B1883" s="43"/>
      <c r="C1883" s="51"/>
      <c r="D1883" s="52"/>
      <c r="E1883" s="48"/>
      <c r="F1883" s="48"/>
    </row>
    <row r="1884" spans="1:6" ht="12.75">
      <c r="A1884" s="42"/>
      <c r="B1884" s="43"/>
      <c r="C1884" s="51"/>
      <c r="D1884" s="52"/>
      <c r="E1884" s="48"/>
      <c r="F1884" s="48"/>
    </row>
    <row r="1885" spans="1:6" ht="12.75">
      <c r="A1885" s="42"/>
      <c r="B1885" s="43"/>
      <c r="C1885" s="51"/>
      <c r="D1885" s="52"/>
      <c r="E1885" s="48"/>
      <c r="F1885" s="48"/>
    </row>
    <row r="1886" spans="1:6" ht="12.75">
      <c r="A1886" s="42"/>
      <c r="B1886" s="43"/>
      <c r="C1886" s="51"/>
      <c r="D1886" s="52"/>
      <c r="E1886" s="48"/>
      <c r="F1886" s="48"/>
    </row>
    <row r="1887" spans="1:6" ht="12.75">
      <c r="A1887" s="42"/>
      <c r="B1887" s="43"/>
      <c r="C1887" s="51"/>
      <c r="D1887" s="52"/>
      <c r="E1887" s="48"/>
      <c r="F1887" s="48"/>
    </row>
    <row r="1888" spans="1:6" ht="12.75">
      <c r="A1888" s="42"/>
      <c r="B1888" s="43"/>
      <c r="C1888" s="51"/>
      <c r="D1888" s="52"/>
      <c r="E1888" s="48"/>
      <c r="F1888" s="48"/>
    </row>
    <row r="1889" spans="1:6" ht="12.75">
      <c r="A1889" s="42"/>
      <c r="B1889" s="43"/>
      <c r="C1889" s="51"/>
      <c r="D1889" s="52"/>
      <c r="E1889" s="48"/>
      <c r="F1889" s="48"/>
    </row>
    <row r="1890" spans="1:6" ht="12.75">
      <c r="A1890" s="42"/>
      <c r="B1890" s="43"/>
      <c r="C1890" s="51"/>
      <c r="D1890" s="52"/>
      <c r="E1890" s="48"/>
      <c r="F1890" s="48"/>
    </row>
    <row r="1891" spans="1:6" ht="12.75">
      <c r="A1891" s="42"/>
      <c r="B1891" s="43"/>
      <c r="C1891" s="51"/>
      <c r="D1891" s="52"/>
      <c r="E1891" s="48"/>
      <c r="F1891" s="48"/>
    </row>
    <row r="1892" spans="1:6" ht="12.75">
      <c r="A1892" s="42"/>
      <c r="B1892" s="43"/>
      <c r="C1892" s="51"/>
      <c r="D1892" s="52"/>
      <c r="E1892" s="48"/>
      <c r="F1892" s="48"/>
    </row>
    <row r="1893" spans="1:6" ht="12.75">
      <c r="A1893" s="42"/>
      <c r="B1893" s="43"/>
      <c r="C1893" s="51"/>
      <c r="D1893" s="52"/>
      <c r="E1893" s="48"/>
      <c r="F1893" s="48"/>
    </row>
    <row r="1894" spans="1:6" ht="12.75">
      <c r="A1894" s="42"/>
      <c r="B1894" s="43"/>
      <c r="C1894" s="51"/>
      <c r="D1894" s="52"/>
      <c r="E1894" s="48"/>
      <c r="F1894" s="48"/>
    </row>
    <row r="1895" spans="1:6" ht="12.75">
      <c r="A1895" s="42"/>
      <c r="B1895" s="43"/>
      <c r="C1895" s="51"/>
      <c r="D1895" s="52"/>
      <c r="E1895" s="48"/>
      <c r="F1895" s="48"/>
    </row>
    <row r="1896" spans="1:6" ht="12.75">
      <c r="A1896" s="42"/>
      <c r="B1896" s="43"/>
      <c r="C1896" s="51"/>
      <c r="D1896" s="52"/>
      <c r="E1896" s="48"/>
      <c r="F1896" s="48"/>
    </row>
    <row r="1897" spans="1:6" ht="12.75">
      <c r="A1897" s="42"/>
      <c r="B1897" s="43"/>
      <c r="C1897" s="51"/>
      <c r="D1897" s="52"/>
      <c r="E1897" s="48"/>
      <c r="F1897" s="48"/>
    </row>
    <row r="1898" spans="1:6" ht="12.75">
      <c r="A1898" s="42"/>
      <c r="B1898" s="43"/>
      <c r="C1898" s="51"/>
      <c r="D1898" s="52"/>
      <c r="E1898" s="48"/>
      <c r="F1898" s="48"/>
    </row>
    <row r="1899" spans="1:6" ht="12.75">
      <c r="A1899" s="42"/>
      <c r="B1899" s="43"/>
      <c r="C1899" s="51"/>
      <c r="D1899" s="52"/>
      <c r="E1899" s="48"/>
      <c r="F1899" s="48"/>
    </row>
    <row r="1900" spans="1:6" ht="12.75">
      <c r="A1900" s="42"/>
      <c r="B1900" s="43"/>
      <c r="C1900" s="51"/>
      <c r="D1900" s="52"/>
      <c r="E1900" s="48"/>
      <c r="F1900" s="48"/>
    </row>
    <row r="1901" spans="1:6" ht="12.75">
      <c r="A1901" s="42"/>
      <c r="B1901" s="43"/>
      <c r="C1901" s="51"/>
      <c r="D1901" s="52"/>
      <c r="E1901" s="48"/>
      <c r="F1901" s="48"/>
    </row>
    <row r="1902" spans="1:6" ht="12.75">
      <c r="A1902" s="42"/>
      <c r="B1902" s="43"/>
      <c r="C1902" s="51"/>
      <c r="D1902" s="52"/>
      <c r="E1902" s="48"/>
      <c r="F1902" s="48"/>
    </row>
    <row r="1903" spans="1:6" ht="12.75">
      <c r="A1903" s="42"/>
      <c r="B1903" s="43"/>
      <c r="C1903" s="51"/>
      <c r="D1903" s="52"/>
      <c r="E1903" s="48"/>
      <c r="F1903" s="48"/>
    </row>
    <row r="1904" spans="1:6" ht="12.75">
      <c r="A1904" s="42"/>
      <c r="B1904" s="43"/>
      <c r="C1904" s="51"/>
      <c r="D1904" s="52"/>
      <c r="E1904" s="48"/>
      <c r="F1904" s="48"/>
    </row>
    <row r="1905" spans="1:6" ht="12.75">
      <c r="A1905" s="42"/>
      <c r="B1905" s="43"/>
      <c r="C1905" s="51"/>
      <c r="D1905" s="52"/>
      <c r="E1905" s="48"/>
      <c r="F1905" s="48"/>
    </row>
    <row r="1906" spans="1:6" ht="12.75">
      <c r="A1906" s="42"/>
      <c r="B1906" s="43"/>
      <c r="C1906" s="51"/>
      <c r="D1906" s="52"/>
      <c r="E1906" s="48"/>
      <c r="F1906" s="48"/>
    </row>
    <row r="1907" spans="1:6" ht="12.75">
      <c r="A1907" s="42"/>
      <c r="B1907" s="43"/>
      <c r="C1907" s="51"/>
      <c r="D1907" s="52"/>
      <c r="E1907" s="48"/>
      <c r="F1907" s="48"/>
    </row>
    <row r="1908" spans="1:6" ht="12.75">
      <c r="A1908" s="42"/>
      <c r="B1908" s="43"/>
      <c r="C1908" s="51"/>
      <c r="D1908" s="52"/>
      <c r="E1908" s="48"/>
      <c r="F1908" s="48"/>
    </row>
    <row r="1909" spans="1:6" ht="12.75">
      <c r="A1909" s="42"/>
      <c r="B1909" s="43"/>
      <c r="C1909" s="51"/>
      <c r="D1909" s="52"/>
      <c r="E1909" s="48"/>
      <c r="F1909" s="48"/>
    </row>
    <row r="1910" spans="1:6" ht="12.75">
      <c r="A1910" s="42"/>
      <c r="B1910" s="43"/>
      <c r="C1910" s="51"/>
      <c r="D1910" s="52"/>
      <c r="E1910" s="48"/>
      <c r="F1910" s="48"/>
    </row>
    <row r="1911" spans="1:6" ht="12.75">
      <c r="A1911" s="42"/>
      <c r="B1911" s="43"/>
      <c r="C1911" s="51"/>
      <c r="D1911" s="52"/>
      <c r="E1911" s="48"/>
      <c r="F1911" s="48"/>
    </row>
    <row r="1912" spans="1:6" ht="12.75">
      <c r="A1912" s="42"/>
      <c r="B1912" s="43"/>
      <c r="C1912" s="51"/>
      <c r="D1912" s="52"/>
      <c r="E1912" s="48"/>
      <c r="F1912" s="48"/>
    </row>
    <row r="1913" spans="1:6" ht="12.75">
      <c r="A1913" s="42"/>
      <c r="B1913" s="43"/>
      <c r="C1913" s="51"/>
      <c r="D1913" s="52"/>
      <c r="E1913" s="48"/>
      <c r="F1913" s="48"/>
    </row>
    <row r="1914" spans="1:6" ht="12.75">
      <c r="A1914" s="42"/>
      <c r="B1914" s="43"/>
      <c r="C1914" s="51"/>
      <c r="D1914" s="52"/>
      <c r="E1914" s="48"/>
      <c r="F1914" s="48"/>
    </row>
    <row r="1915" spans="1:6" ht="12.75">
      <c r="A1915" s="42"/>
      <c r="B1915" s="43"/>
      <c r="C1915" s="51"/>
      <c r="D1915" s="52"/>
      <c r="E1915" s="48"/>
      <c r="F1915" s="48"/>
    </row>
    <row r="1916" spans="1:6" ht="12.75">
      <c r="A1916" s="42"/>
      <c r="B1916" s="43"/>
      <c r="C1916" s="51"/>
      <c r="D1916" s="52"/>
      <c r="E1916" s="48"/>
      <c r="F1916" s="48"/>
    </row>
    <row r="1917" spans="1:6" ht="12.75">
      <c r="A1917" s="42"/>
      <c r="B1917" s="43"/>
      <c r="C1917" s="51"/>
      <c r="D1917" s="52"/>
      <c r="E1917" s="48"/>
      <c r="F1917" s="48"/>
    </row>
    <row r="1918" spans="1:6" ht="12.75">
      <c r="A1918" s="42"/>
      <c r="B1918" s="43"/>
      <c r="C1918" s="51"/>
      <c r="D1918" s="52"/>
      <c r="E1918" s="48"/>
      <c r="F1918" s="48"/>
    </row>
    <row r="1919" spans="1:6" ht="12.75">
      <c r="A1919" s="42"/>
      <c r="B1919" s="43"/>
      <c r="C1919" s="51"/>
      <c r="D1919" s="52"/>
      <c r="E1919" s="48"/>
      <c r="F1919" s="48"/>
    </row>
    <row r="1920" spans="1:6" ht="12.75">
      <c r="A1920" s="42"/>
      <c r="B1920" s="43"/>
      <c r="C1920" s="51"/>
      <c r="D1920" s="52"/>
      <c r="E1920" s="48"/>
      <c r="F1920" s="48"/>
    </row>
    <row r="1921" spans="1:6" ht="12.75">
      <c r="A1921" s="42"/>
      <c r="B1921" s="43"/>
      <c r="C1921" s="51"/>
      <c r="D1921" s="52"/>
      <c r="E1921" s="48"/>
      <c r="F1921" s="48"/>
    </row>
    <row r="1922" spans="1:6" ht="12.75">
      <c r="A1922" s="42"/>
      <c r="B1922" s="43"/>
      <c r="C1922" s="51"/>
      <c r="D1922" s="52"/>
      <c r="E1922" s="48"/>
      <c r="F1922" s="48"/>
    </row>
    <row r="1923" spans="1:6" ht="12.75">
      <c r="A1923" s="42"/>
      <c r="B1923" s="43"/>
      <c r="C1923" s="51"/>
      <c r="D1923" s="52"/>
      <c r="E1923" s="48"/>
      <c r="F1923" s="48"/>
    </row>
    <row r="1924" spans="1:6" ht="12.75">
      <c r="A1924" s="42"/>
      <c r="B1924" s="43"/>
      <c r="C1924" s="51"/>
      <c r="D1924" s="52"/>
      <c r="E1924" s="48"/>
      <c r="F1924" s="48"/>
    </row>
    <row r="1925" spans="1:6" ht="12.75">
      <c r="A1925" s="42"/>
      <c r="B1925" s="43"/>
      <c r="C1925" s="51"/>
      <c r="D1925" s="52"/>
      <c r="E1925" s="48"/>
      <c r="F1925" s="48"/>
    </row>
    <row r="1926" spans="1:6" ht="12.75">
      <c r="A1926" s="42"/>
      <c r="B1926" s="43"/>
      <c r="C1926" s="51"/>
      <c r="D1926" s="52"/>
      <c r="E1926" s="48"/>
      <c r="F1926" s="48"/>
    </row>
    <row r="1927" spans="1:6" ht="12.75">
      <c r="A1927" s="42"/>
      <c r="B1927" s="43"/>
      <c r="C1927" s="51"/>
      <c r="D1927" s="52"/>
      <c r="E1927" s="48"/>
      <c r="F1927" s="48"/>
    </row>
    <row r="1928" spans="1:6" ht="12.75">
      <c r="A1928" s="42"/>
      <c r="B1928" s="43"/>
      <c r="C1928" s="51"/>
      <c r="D1928" s="52"/>
      <c r="E1928" s="48"/>
      <c r="F1928" s="48"/>
    </row>
    <row r="1929" spans="1:6" ht="12.75">
      <c r="A1929" s="42"/>
      <c r="B1929" s="43"/>
      <c r="C1929" s="51"/>
      <c r="D1929" s="52"/>
      <c r="E1929" s="48"/>
      <c r="F1929" s="48"/>
    </row>
    <row r="1930" spans="1:6" ht="12.75">
      <c r="A1930" s="42"/>
      <c r="B1930" s="43"/>
      <c r="C1930" s="51"/>
      <c r="D1930" s="52"/>
      <c r="E1930" s="48"/>
      <c r="F1930" s="48"/>
    </row>
    <row r="1931" spans="1:6" ht="12.75">
      <c r="A1931" s="42"/>
      <c r="B1931" s="43"/>
      <c r="C1931" s="51"/>
      <c r="D1931" s="52"/>
      <c r="E1931" s="48"/>
      <c r="F1931" s="48"/>
    </row>
    <row r="1932" spans="1:6" ht="12.75">
      <c r="A1932" s="42"/>
      <c r="B1932" s="43"/>
      <c r="C1932" s="51"/>
      <c r="D1932" s="52"/>
      <c r="E1932" s="48"/>
      <c r="F1932" s="48"/>
    </row>
    <row r="1933" spans="1:6" ht="12.75">
      <c r="A1933" s="42"/>
      <c r="B1933" s="43"/>
      <c r="C1933" s="51"/>
      <c r="D1933" s="52"/>
      <c r="E1933" s="48"/>
      <c r="F1933" s="48"/>
    </row>
    <row r="1934" spans="1:6" ht="12.75">
      <c r="A1934" s="42"/>
      <c r="B1934" s="43"/>
      <c r="C1934" s="51"/>
      <c r="D1934" s="52"/>
      <c r="E1934" s="48"/>
      <c r="F1934" s="48"/>
    </row>
    <row r="1935" spans="1:6" ht="12.75">
      <c r="A1935" s="42"/>
      <c r="B1935" s="43"/>
      <c r="C1935" s="51"/>
      <c r="D1935" s="52"/>
      <c r="E1935" s="48"/>
      <c r="F1935" s="48"/>
    </row>
    <row r="1936" spans="1:6" ht="12.75">
      <c r="A1936" s="42"/>
      <c r="B1936" s="43"/>
      <c r="C1936" s="51"/>
      <c r="D1936" s="52"/>
      <c r="E1936" s="48"/>
      <c r="F1936" s="48"/>
    </row>
    <row r="1937" spans="1:6" ht="12.75">
      <c r="A1937" s="42"/>
      <c r="B1937" s="43"/>
      <c r="C1937" s="51"/>
      <c r="D1937" s="52"/>
      <c r="E1937" s="48"/>
      <c r="F1937" s="48"/>
    </row>
    <row r="1938" spans="1:6" ht="12.75">
      <c r="A1938" s="42"/>
      <c r="B1938" s="43"/>
      <c r="C1938" s="51"/>
      <c r="D1938" s="52"/>
      <c r="E1938" s="48"/>
      <c r="F1938" s="48"/>
    </row>
    <row r="1939" spans="1:6" ht="12.75">
      <c r="A1939" s="42"/>
      <c r="B1939" s="43"/>
      <c r="C1939" s="51"/>
      <c r="D1939" s="52"/>
      <c r="E1939" s="48"/>
      <c r="F1939" s="48"/>
    </row>
    <row r="1940" spans="1:6" ht="12.75">
      <c r="A1940" s="42"/>
      <c r="B1940" s="43"/>
      <c r="C1940" s="51"/>
      <c r="D1940" s="52"/>
      <c r="E1940" s="48"/>
      <c r="F1940" s="48"/>
    </row>
    <row r="1941" spans="1:6" ht="12.75">
      <c r="A1941" s="42"/>
      <c r="B1941" s="43"/>
      <c r="C1941" s="51"/>
      <c r="D1941" s="52"/>
      <c r="E1941" s="48"/>
      <c r="F1941" s="48"/>
    </row>
    <row r="1942" spans="1:6" ht="12.75">
      <c r="A1942" s="42"/>
      <c r="B1942" s="43"/>
      <c r="C1942" s="51"/>
      <c r="D1942" s="52"/>
      <c r="E1942" s="48"/>
      <c r="F1942" s="48"/>
    </row>
    <row r="1943" spans="1:6" ht="12.75">
      <c r="A1943" s="42"/>
      <c r="B1943" s="43"/>
      <c r="C1943" s="51"/>
      <c r="D1943" s="52"/>
      <c r="E1943" s="48"/>
      <c r="F1943" s="48"/>
    </row>
    <row r="1944" spans="1:6" ht="12.75">
      <c r="A1944" s="42"/>
      <c r="B1944" s="43"/>
      <c r="C1944" s="51"/>
      <c r="D1944" s="52"/>
      <c r="E1944" s="48"/>
      <c r="F1944" s="48"/>
    </row>
    <row r="1945" spans="1:6" ht="12.75">
      <c r="A1945" s="42"/>
      <c r="B1945" s="43"/>
      <c r="C1945" s="51"/>
      <c r="D1945" s="52"/>
      <c r="E1945" s="48"/>
      <c r="F1945" s="48"/>
    </row>
    <row r="1946" spans="1:6" ht="12.75">
      <c r="A1946" s="42"/>
      <c r="B1946" s="43"/>
      <c r="C1946" s="51"/>
      <c r="D1946" s="52"/>
      <c r="E1946" s="48"/>
      <c r="F1946" s="48"/>
    </row>
    <row r="1947" spans="1:6" ht="12.75">
      <c r="A1947" s="42"/>
      <c r="B1947" s="43"/>
      <c r="C1947" s="51"/>
      <c r="D1947" s="52"/>
      <c r="E1947" s="48"/>
      <c r="F1947" s="48"/>
    </row>
    <row r="1948" spans="1:6" ht="12.75">
      <c r="A1948" s="42"/>
      <c r="B1948" s="43"/>
      <c r="C1948" s="51"/>
      <c r="D1948" s="52"/>
      <c r="E1948" s="48"/>
      <c r="F1948" s="48"/>
    </row>
    <row r="1949" spans="1:6" ht="12.75">
      <c r="A1949" s="42"/>
      <c r="B1949" s="43"/>
      <c r="C1949" s="51"/>
      <c r="D1949" s="52"/>
      <c r="E1949" s="48"/>
      <c r="F1949" s="48"/>
    </row>
    <row r="1950" spans="1:6" ht="12.75">
      <c r="A1950" s="42"/>
      <c r="B1950" s="43"/>
      <c r="C1950" s="51"/>
      <c r="D1950" s="52"/>
      <c r="E1950" s="48"/>
      <c r="F1950" s="48"/>
    </row>
    <row r="1951" spans="1:6" ht="12.75">
      <c r="A1951" s="42"/>
      <c r="B1951" s="43"/>
      <c r="C1951" s="51"/>
      <c r="D1951" s="52"/>
      <c r="E1951" s="48"/>
      <c r="F1951" s="48"/>
    </row>
    <row r="1952" spans="1:6" ht="12.75">
      <c r="A1952" s="42"/>
      <c r="B1952" s="43"/>
      <c r="C1952" s="51"/>
      <c r="D1952" s="52"/>
      <c r="E1952" s="48"/>
      <c r="F1952" s="48"/>
    </row>
    <row r="1953" spans="1:6" ht="12.75">
      <c r="A1953" s="42"/>
      <c r="B1953" s="43"/>
      <c r="C1953" s="51"/>
      <c r="D1953" s="52"/>
      <c r="E1953" s="48"/>
      <c r="F1953" s="48"/>
    </row>
    <row r="1954" spans="1:6" ht="12.75">
      <c r="A1954" s="42"/>
      <c r="B1954" s="43"/>
      <c r="C1954" s="51"/>
      <c r="D1954" s="52"/>
      <c r="E1954" s="48"/>
      <c r="F1954" s="48"/>
    </row>
    <row r="1955" spans="1:6" ht="12.75">
      <c r="A1955" s="42"/>
      <c r="B1955" s="43"/>
      <c r="C1955" s="51"/>
      <c r="D1955" s="52"/>
      <c r="E1955" s="48"/>
      <c r="F1955" s="48"/>
    </row>
    <row r="1956" spans="1:6" ht="12.75">
      <c r="A1956" s="42"/>
      <c r="B1956" s="43"/>
      <c r="C1956" s="51"/>
      <c r="D1956" s="52"/>
      <c r="E1956" s="48"/>
      <c r="F1956" s="48"/>
    </row>
    <row r="1957" spans="1:6" ht="12.75">
      <c r="A1957" s="42"/>
      <c r="B1957" s="43"/>
      <c r="C1957" s="51"/>
      <c r="D1957" s="52"/>
      <c r="E1957" s="48"/>
      <c r="F1957" s="48"/>
    </row>
    <row r="1958" spans="1:6" ht="12.75">
      <c r="A1958" s="42"/>
      <c r="B1958" s="43"/>
      <c r="C1958" s="51"/>
      <c r="D1958" s="52"/>
      <c r="E1958" s="48"/>
      <c r="F1958" s="48"/>
    </row>
    <row r="1959" spans="1:6" ht="12.75">
      <c r="A1959" s="42"/>
      <c r="B1959" s="43"/>
      <c r="C1959" s="51"/>
      <c r="D1959" s="52"/>
      <c r="E1959" s="48"/>
      <c r="F1959" s="48"/>
    </row>
    <row r="1960" spans="1:6" ht="12.75">
      <c r="A1960" s="42"/>
      <c r="B1960" s="43"/>
      <c r="C1960" s="51"/>
      <c r="D1960" s="52"/>
      <c r="E1960" s="48"/>
      <c r="F1960" s="48"/>
    </row>
    <row r="1961" spans="1:6" ht="12.75">
      <c r="A1961" s="42"/>
      <c r="B1961" s="43"/>
      <c r="C1961" s="51"/>
      <c r="D1961" s="52"/>
      <c r="E1961" s="48"/>
      <c r="F1961" s="48"/>
    </row>
    <row r="1962" spans="1:6" ht="12.75">
      <c r="A1962" s="42"/>
      <c r="B1962" s="43"/>
      <c r="C1962" s="51"/>
      <c r="D1962" s="52"/>
      <c r="E1962" s="48"/>
      <c r="F1962" s="48"/>
    </row>
    <row r="1963" spans="1:6" ht="12.75">
      <c r="A1963" s="42"/>
      <c r="B1963" s="43"/>
      <c r="C1963" s="51"/>
      <c r="D1963" s="52"/>
      <c r="E1963" s="48"/>
      <c r="F1963" s="48"/>
    </row>
    <row r="1964" spans="1:6" ht="12.75">
      <c r="A1964" s="42"/>
      <c r="B1964" s="43"/>
      <c r="C1964" s="51"/>
      <c r="D1964" s="52"/>
      <c r="E1964" s="48"/>
      <c r="F1964" s="48"/>
    </row>
    <row r="1965" spans="1:6" ht="12.75">
      <c r="A1965" s="42"/>
      <c r="B1965" s="43"/>
      <c r="C1965" s="51"/>
      <c r="D1965" s="52"/>
      <c r="E1965" s="48"/>
      <c r="F1965" s="48"/>
    </row>
    <row r="1966" spans="1:6" ht="12.75">
      <c r="A1966" s="42"/>
      <c r="B1966" s="43"/>
      <c r="C1966" s="51"/>
      <c r="D1966" s="52"/>
      <c r="E1966" s="48"/>
      <c r="F1966" s="48"/>
    </row>
    <row r="1967" spans="1:6" ht="12.75">
      <c r="A1967" s="42"/>
      <c r="B1967" s="43"/>
      <c r="C1967" s="51"/>
      <c r="D1967" s="52"/>
      <c r="E1967" s="48"/>
      <c r="F1967" s="48"/>
    </row>
    <row r="1968" spans="1:6" ht="12.75">
      <c r="A1968" s="42"/>
      <c r="B1968" s="43"/>
      <c r="C1968" s="51"/>
      <c r="D1968" s="52"/>
      <c r="E1968" s="48"/>
      <c r="F1968" s="48"/>
    </row>
    <row r="1969" spans="1:6" ht="12.75">
      <c r="A1969" s="42"/>
      <c r="B1969" s="43"/>
      <c r="C1969" s="51"/>
      <c r="D1969" s="52"/>
      <c r="E1969" s="48"/>
      <c r="F1969" s="48"/>
    </row>
    <row r="1970" spans="1:6" ht="12.75">
      <c r="A1970" s="42"/>
      <c r="B1970" s="43"/>
      <c r="C1970" s="51"/>
      <c r="D1970" s="52"/>
      <c r="E1970" s="48"/>
      <c r="F1970" s="48"/>
    </row>
    <row r="1971" spans="1:6" ht="12.75">
      <c r="A1971" s="42"/>
      <c r="B1971" s="43"/>
      <c r="C1971" s="51"/>
      <c r="D1971" s="52"/>
      <c r="E1971" s="48"/>
      <c r="F1971" s="48"/>
    </row>
    <row r="1972" spans="1:6" ht="12.75">
      <c r="A1972" s="42"/>
      <c r="B1972" s="43"/>
      <c r="C1972" s="51"/>
      <c r="D1972" s="52"/>
      <c r="E1972" s="48"/>
      <c r="F1972" s="48"/>
    </row>
    <row r="1973" spans="1:6" ht="12.75">
      <c r="A1973" s="42"/>
      <c r="B1973" s="43"/>
      <c r="C1973" s="51"/>
      <c r="D1973" s="52"/>
      <c r="E1973" s="48"/>
      <c r="F1973" s="48"/>
    </row>
    <row r="1974" spans="1:6" ht="12.75">
      <c r="A1974" s="42"/>
      <c r="B1974" s="43"/>
      <c r="C1974" s="51"/>
      <c r="D1974" s="52"/>
      <c r="E1974" s="48"/>
      <c r="F1974" s="48"/>
    </row>
    <row r="1975" spans="1:6" ht="12.75">
      <c r="A1975" s="42"/>
      <c r="B1975" s="43"/>
      <c r="C1975" s="51"/>
      <c r="D1975" s="52"/>
      <c r="E1975" s="48"/>
      <c r="F1975" s="48"/>
    </row>
    <row r="1976" spans="1:6" ht="12.75">
      <c r="A1976" s="42"/>
      <c r="B1976" s="43"/>
      <c r="C1976" s="51"/>
      <c r="D1976" s="52"/>
      <c r="E1976" s="48"/>
      <c r="F1976" s="48"/>
    </row>
    <row r="1977" spans="1:6" ht="12.75">
      <c r="A1977" s="42"/>
      <c r="B1977" s="43"/>
      <c r="C1977" s="51"/>
      <c r="D1977" s="52"/>
      <c r="E1977" s="48"/>
      <c r="F1977" s="48"/>
    </row>
    <row r="1978" spans="1:6" ht="12.75">
      <c r="A1978" s="42"/>
      <c r="B1978" s="43"/>
      <c r="C1978" s="51"/>
      <c r="D1978" s="52"/>
      <c r="E1978" s="48"/>
      <c r="F1978" s="48"/>
    </row>
    <row r="1979" spans="1:6" ht="12.75">
      <c r="A1979" s="42"/>
      <c r="B1979" s="43"/>
      <c r="C1979" s="51"/>
      <c r="D1979" s="52"/>
      <c r="E1979" s="48"/>
      <c r="F1979" s="48"/>
    </row>
    <row r="1980" spans="1:6" ht="12.75">
      <c r="A1980" s="42"/>
      <c r="B1980" s="43"/>
      <c r="C1980" s="51"/>
      <c r="D1980" s="52"/>
      <c r="E1980" s="48"/>
      <c r="F1980" s="48"/>
    </row>
    <row r="1981" spans="1:6" ht="12.75">
      <c r="A1981" s="42"/>
      <c r="B1981" s="43"/>
      <c r="C1981" s="51"/>
      <c r="D1981" s="52"/>
      <c r="E1981" s="48"/>
      <c r="F1981" s="48"/>
    </row>
    <row r="1982" spans="1:6" ht="12.75">
      <c r="A1982" s="42"/>
      <c r="B1982" s="43"/>
      <c r="C1982" s="51"/>
      <c r="D1982" s="52"/>
      <c r="E1982" s="48"/>
      <c r="F1982" s="48"/>
    </row>
    <row r="1983" spans="1:6" ht="12.75">
      <c r="A1983" s="42"/>
      <c r="B1983" s="43"/>
      <c r="C1983" s="51"/>
      <c r="D1983" s="52"/>
      <c r="E1983" s="48"/>
      <c r="F1983" s="48"/>
    </row>
    <row r="1984" spans="1:6" ht="12.75">
      <c r="A1984" s="42"/>
      <c r="B1984" s="43"/>
      <c r="C1984" s="51"/>
      <c r="D1984" s="52"/>
      <c r="E1984" s="48"/>
      <c r="F1984" s="48"/>
    </row>
    <row r="1985" spans="1:6" ht="12.75">
      <c r="A1985" s="42"/>
      <c r="B1985" s="43"/>
      <c r="C1985" s="51"/>
      <c r="D1985" s="52"/>
      <c r="E1985" s="48"/>
      <c r="F1985" s="48"/>
    </row>
    <row r="1986" spans="1:6" ht="12.75">
      <c r="A1986" s="42"/>
      <c r="B1986" s="43"/>
      <c r="C1986" s="51"/>
      <c r="D1986" s="52"/>
      <c r="E1986" s="48"/>
      <c r="F1986" s="48"/>
    </row>
    <row r="1987" spans="1:6" ht="12.75">
      <c r="A1987" s="42"/>
      <c r="B1987" s="43"/>
      <c r="C1987" s="51"/>
      <c r="D1987" s="52"/>
      <c r="E1987" s="48"/>
      <c r="F1987" s="48"/>
    </row>
    <row r="1988" spans="1:6" ht="12.75">
      <c r="A1988" s="42"/>
      <c r="B1988" s="43"/>
      <c r="C1988" s="51"/>
      <c r="D1988" s="52"/>
      <c r="E1988" s="48"/>
      <c r="F1988" s="48"/>
    </row>
    <row r="1989" spans="1:6" ht="12.75">
      <c r="A1989" s="42"/>
      <c r="B1989" s="43"/>
      <c r="C1989" s="51"/>
      <c r="D1989" s="52"/>
      <c r="E1989" s="48"/>
      <c r="F1989" s="48"/>
    </row>
    <row r="1990" spans="1:6" ht="12.75">
      <c r="A1990" s="42"/>
      <c r="B1990" s="43"/>
      <c r="C1990" s="51"/>
      <c r="D1990" s="52"/>
      <c r="E1990" s="48"/>
      <c r="F1990" s="48"/>
    </row>
    <row r="1991" spans="1:6" ht="12.75">
      <c r="A1991" s="42"/>
      <c r="B1991" s="43"/>
      <c r="C1991" s="51"/>
      <c r="D1991" s="52"/>
      <c r="E1991" s="48"/>
      <c r="F1991" s="48"/>
    </row>
    <row r="1992" spans="1:6" ht="12.75">
      <c r="A1992" s="42"/>
      <c r="B1992" s="43"/>
      <c r="C1992" s="51"/>
      <c r="D1992" s="52"/>
      <c r="E1992" s="48"/>
      <c r="F1992" s="48"/>
    </row>
    <row r="1993" spans="1:6" ht="12.75">
      <c r="A1993" s="42"/>
      <c r="B1993" s="43"/>
      <c r="C1993" s="51"/>
      <c r="D1993" s="52"/>
      <c r="E1993" s="48"/>
      <c r="F1993" s="48"/>
    </row>
    <row r="1994" spans="1:6" ht="12.75">
      <c r="A1994" s="42"/>
      <c r="B1994" s="43"/>
      <c r="C1994" s="51"/>
      <c r="D1994" s="52"/>
      <c r="E1994" s="48"/>
      <c r="F1994" s="48"/>
    </row>
    <row r="1995" spans="1:6" ht="12.75">
      <c r="A1995" s="42"/>
      <c r="B1995" s="43"/>
      <c r="C1995" s="51"/>
      <c r="D1995" s="52"/>
      <c r="E1995" s="48"/>
      <c r="F1995" s="48"/>
    </row>
    <row r="1996" spans="1:6" ht="12.75">
      <c r="A1996" s="42"/>
      <c r="B1996" s="43"/>
      <c r="C1996" s="51"/>
      <c r="D1996" s="52"/>
      <c r="E1996" s="48"/>
      <c r="F1996" s="48"/>
    </row>
    <row r="1997" spans="1:6" ht="12.75">
      <c r="A1997" s="42"/>
      <c r="B1997" s="43"/>
      <c r="C1997" s="51"/>
      <c r="D1997" s="52"/>
      <c r="E1997" s="48"/>
      <c r="F1997" s="48"/>
    </row>
    <row r="1998" spans="1:6" ht="12.75">
      <c r="A1998" s="42"/>
      <c r="B1998" s="43"/>
      <c r="C1998" s="51"/>
      <c r="D1998" s="52"/>
      <c r="E1998" s="48"/>
      <c r="F1998" s="48"/>
    </row>
    <row r="1999" spans="1:6" ht="12.75">
      <c r="A1999" s="42"/>
      <c r="B1999" s="43"/>
      <c r="C1999" s="51"/>
      <c r="D1999" s="52"/>
      <c r="E1999" s="48"/>
      <c r="F1999" s="48"/>
    </row>
    <row r="2000" spans="1:6" ht="12.75">
      <c r="A2000" s="42"/>
      <c r="B2000" s="43"/>
      <c r="C2000" s="51"/>
      <c r="D2000" s="52"/>
      <c r="E2000" s="48"/>
      <c r="F2000" s="48"/>
    </row>
    <row r="2001" spans="1:6" ht="12.75">
      <c r="A2001" s="42"/>
      <c r="B2001" s="43"/>
      <c r="C2001" s="51"/>
      <c r="D2001" s="52"/>
      <c r="E2001" s="48"/>
      <c r="F2001" s="48"/>
    </row>
    <row r="2002" spans="1:6" ht="12.75">
      <c r="A2002" s="42"/>
      <c r="B2002" s="43"/>
      <c r="C2002" s="51"/>
      <c r="D2002" s="52"/>
      <c r="E2002" s="48"/>
      <c r="F2002" s="48"/>
    </row>
    <row r="2003" spans="1:6" ht="12.75">
      <c r="A2003" s="42"/>
      <c r="B2003" s="43"/>
      <c r="C2003" s="51"/>
      <c r="D2003" s="52"/>
      <c r="E2003" s="48"/>
      <c r="F2003" s="48"/>
    </row>
    <row r="2004" spans="1:6" ht="12.75">
      <c r="A2004" s="42"/>
      <c r="B2004" s="43"/>
      <c r="C2004" s="51"/>
      <c r="D2004" s="52"/>
      <c r="E2004" s="48"/>
      <c r="F2004" s="48"/>
    </row>
    <row r="2005" spans="1:6" ht="12.75">
      <c r="A2005" s="42"/>
      <c r="B2005" s="43"/>
      <c r="C2005" s="51"/>
      <c r="D2005" s="52"/>
      <c r="E2005" s="48"/>
      <c r="F2005" s="48"/>
    </row>
    <row r="2006" spans="1:6" ht="12.75">
      <c r="A2006" s="42"/>
      <c r="B2006" s="43"/>
      <c r="C2006" s="51"/>
      <c r="D2006" s="52"/>
      <c r="E2006" s="48"/>
      <c r="F2006" s="48"/>
    </row>
    <row r="2007" spans="1:6" ht="12.75">
      <c r="A2007" s="42"/>
      <c r="B2007" s="43"/>
      <c r="C2007" s="51"/>
      <c r="D2007" s="52"/>
      <c r="E2007" s="48"/>
      <c r="F2007" s="48"/>
    </row>
    <row r="2008" spans="1:6" ht="12.75">
      <c r="A2008" s="42"/>
      <c r="B2008" s="43"/>
      <c r="C2008" s="51"/>
      <c r="D2008" s="52"/>
      <c r="E2008" s="48"/>
      <c r="F2008" s="48"/>
    </row>
    <row r="2009" spans="1:6" ht="12.75">
      <c r="A2009" s="42"/>
      <c r="B2009" s="43"/>
      <c r="C2009" s="51"/>
      <c r="D2009" s="52"/>
      <c r="E2009" s="48"/>
      <c r="F2009" s="48"/>
    </row>
    <row r="2010" spans="1:6" ht="12.75">
      <c r="A2010" s="42"/>
      <c r="B2010" s="43"/>
      <c r="C2010" s="51"/>
      <c r="D2010" s="52"/>
      <c r="E2010" s="48"/>
      <c r="F2010" s="48"/>
    </row>
    <row r="2011" spans="1:6" ht="12.75">
      <c r="A2011" s="42"/>
      <c r="B2011" s="43"/>
      <c r="C2011" s="51"/>
      <c r="D2011" s="52"/>
      <c r="E2011" s="48"/>
      <c r="F2011" s="48"/>
    </row>
    <row r="2012" spans="1:6" ht="12.75">
      <c r="A2012" s="42"/>
      <c r="B2012" s="43"/>
      <c r="C2012" s="51"/>
      <c r="D2012" s="52"/>
      <c r="E2012" s="48"/>
      <c r="F2012" s="48"/>
    </row>
    <row r="2013" spans="1:6" ht="12.75">
      <c r="A2013" s="42"/>
      <c r="B2013" s="43"/>
      <c r="C2013" s="51"/>
      <c r="D2013" s="52"/>
      <c r="E2013" s="48"/>
      <c r="F2013" s="48"/>
    </row>
    <row r="2014" spans="1:6" ht="12.75">
      <c r="A2014" s="42"/>
      <c r="B2014" s="43"/>
      <c r="C2014" s="51"/>
      <c r="D2014" s="52"/>
      <c r="E2014" s="48"/>
      <c r="F2014" s="48"/>
    </row>
    <row r="2015" spans="1:6" ht="12.75">
      <c r="A2015" s="42"/>
      <c r="B2015" s="43"/>
      <c r="C2015" s="51"/>
      <c r="D2015" s="52"/>
      <c r="E2015" s="48"/>
      <c r="F2015" s="48"/>
    </row>
    <row r="2016" spans="1:6" ht="12.75">
      <c r="A2016" s="42"/>
      <c r="B2016" s="43"/>
      <c r="C2016" s="51"/>
      <c r="D2016" s="52"/>
      <c r="E2016" s="48"/>
      <c r="F2016" s="48"/>
    </row>
    <row r="2017" spans="1:6" ht="12.75">
      <c r="A2017" s="42"/>
      <c r="B2017" s="43"/>
      <c r="C2017" s="51"/>
      <c r="D2017" s="52"/>
      <c r="E2017" s="48"/>
      <c r="F2017" s="48"/>
    </row>
    <row r="2018" spans="1:6" ht="12.75">
      <c r="A2018" s="42"/>
      <c r="B2018" s="43"/>
      <c r="C2018" s="51"/>
      <c r="D2018" s="52"/>
      <c r="E2018" s="48"/>
      <c r="F2018" s="48"/>
    </row>
    <row r="2019" spans="1:6" ht="12.75">
      <c r="A2019" s="42"/>
      <c r="B2019" s="43"/>
      <c r="C2019" s="51"/>
      <c r="D2019" s="52"/>
      <c r="E2019" s="48"/>
      <c r="F2019" s="48"/>
    </row>
    <row r="2020" spans="1:6" ht="12.75">
      <c r="A2020" s="42"/>
      <c r="B2020" s="43"/>
      <c r="C2020" s="51"/>
      <c r="D2020" s="52"/>
      <c r="E2020" s="48"/>
      <c r="F2020" s="48"/>
    </row>
    <row r="2021" spans="1:6" ht="12.75">
      <c r="A2021" s="42"/>
      <c r="B2021" s="43"/>
      <c r="C2021" s="51"/>
      <c r="D2021" s="52"/>
      <c r="E2021" s="48"/>
      <c r="F2021" s="48"/>
    </row>
    <row r="2022" spans="1:6" ht="12.75">
      <c r="A2022" s="42"/>
      <c r="B2022" s="43"/>
      <c r="C2022" s="51"/>
      <c r="D2022" s="52"/>
      <c r="E2022" s="48"/>
      <c r="F2022" s="48"/>
    </row>
    <row r="2023" spans="1:6" ht="12.75">
      <c r="A2023" s="42"/>
      <c r="B2023" s="43"/>
      <c r="C2023" s="51"/>
      <c r="D2023" s="52"/>
      <c r="E2023" s="48"/>
      <c r="F2023" s="48"/>
    </row>
    <row r="2024" spans="1:6" ht="12.75">
      <c r="A2024" s="42"/>
      <c r="B2024" s="43"/>
      <c r="C2024" s="51"/>
      <c r="D2024" s="52"/>
      <c r="E2024" s="48"/>
      <c r="F2024" s="48"/>
    </row>
    <row r="2025" spans="1:6" ht="12.75">
      <c r="A2025" s="42"/>
      <c r="B2025" s="43"/>
      <c r="C2025" s="51"/>
      <c r="D2025" s="52"/>
      <c r="E2025" s="48"/>
      <c r="F2025" s="48"/>
    </row>
    <row r="2026" spans="1:6" ht="12.75">
      <c r="A2026" s="42"/>
      <c r="B2026" s="43"/>
      <c r="C2026" s="51"/>
      <c r="D2026" s="52"/>
      <c r="E2026" s="48"/>
      <c r="F2026" s="48"/>
    </row>
    <row r="2027" spans="1:6" ht="12.75">
      <c r="A2027" s="42"/>
      <c r="B2027" s="43"/>
      <c r="C2027" s="51"/>
      <c r="D2027" s="52"/>
      <c r="E2027" s="48"/>
      <c r="F2027" s="48"/>
    </row>
    <row r="2028" spans="1:6" ht="12.75">
      <c r="A2028" s="42"/>
      <c r="B2028" s="43"/>
      <c r="C2028" s="51"/>
      <c r="D2028" s="52"/>
      <c r="E2028" s="48"/>
      <c r="F2028" s="48"/>
    </row>
    <row r="2029" spans="1:6" ht="12.75">
      <c r="A2029" s="42"/>
      <c r="B2029" s="43"/>
      <c r="C2029" s="51"/>
      <c r="D2029" s="52"/>
      <c r="E2029" s="48"/>
      <c r="F2029" s="48"/>
    </row>
    <row r="2030" spans="1:6" ht="12.75">
      <c r="A2030" s="42"/>
      <c r="B2030" s="43"/>
      <c r="C2030" s="51"/>
      <c r="D2030" s="52"/>
      <c r="E2030" s="48"/>
      <c r="F2030" s="48"/>
    </row>
    <row r="2031" spans="1:6" ht="12.75">
      <c r="A2031" s="42"/>
      <c r="B2031" s="43"/>
      <c r="C2031" s="51"/>
      <c r="D2031" s="52"/>
      <c r="E2031" s="48"/>
      <c r="F2031" s="48"/>
    </row>
    <row r="2032" spans="1:6" ht="12.75">
      <c r="A2032" s="42"/>
      <c r="B2032" s="43"/>
      <c r="C2032" s="51"/>
      <c r="D2032" s="52"/>
      <c r="E2032" s="48"/>
      <c r="F2032" s="48"/>
    </row>
    <row r="2033" spans="1:6" ht="12.75">
      <c r="A2033" s="42"/>
      <c r="B2033" s="43"/>
      <c r="C2033" s="51"/>
      <c r="D2033" s="52"/>
      <c r="E2033" s="48"/>
      <c r="F2033" s="48"/>
    </row>
    <row r="2034" spans="1:6" ht="12.75">
      <c r="A2034" s="42"/>
      <c r="B2034" s="43"/>
      <c r="C2034" s="51"/>
      <c r="D2034" s="52"/>
      <c r="E2034" s="48"/>
      <c r="F2034" s="48"/>
    </row>
    <row r="2035" spans="1:6" ht="12.75">
      <c r="A2035" s="42"/>
      <c r="B2035" s="43"/>
      <c r="C2035" s="51"/>
      <c r="D2035" s="52"/>
      <c r="E2035" s="48"/>
      <c r="F2035" s="48"/>
    </row>
    <row r="2036" spans="1:6" ht="12.75">
      <c r="A2036" s="42"/>
      <c r="B2036" s="43"/>
      <c r="C2036" s="51"/>
      <c r="D2036" s="52"/>
      <c r="E2036" s="48"/>
      <c r="F2036" s="48"/>
    </row>
    <row r="2037" spans="1:6" ht="12.75">
      <c r="A2037" s="42"/>
      <c r="B2037" s="43"/>
      <c r="C2037" s="51"/>
      <c r="D2037" s="52"/>
      <c r="E2037" s="48"/>
      <c r="F2037" s="48"/>
    </row>
    <row r="2038" spans="1:6" ht="12.75">
      <c r="A2038" s="42"/>
      <c r="B2038" s="43"/>
      <c r="C2038" s="51"/>
      <c r="D2038" s="52"/>
      <c r="E2038" s="48"/>
      <c r="F2038" s="48"/>
    </row>
    <row r="2039" spans="1:6" ht="12.75">
      <c r="A2039" s="42"/>
      <c r="B2039" s="43"/>
      <c r="C2039" s="51"/>
      <c r="D2039" s="52"/>
      <c r="E2039" s="48"/>
      <c r="F2039" s="48"/>
    </row>
    <row r="2040" spans="1:6" ht="12.75">
      <c r="A2040" s="42"/>
      <c r="B2040" s="43"/>
      <c r="C2040" s="51"/>
      <c r="D2040" s="52"/>
      <c r="E2040" s="48"/>
      <c r="F2040" s="48"/>
    </row>
    <row r="2041" spans="1:6" ht="12.75">
      <c r="A2041" s="42"/>
      <c r="B2041" s="43"/>
      <c r="C2041" s="51"/>
      <c r="D2041" s="52"/>
      <c r="E2041" s="48"/>
      <c r="F2041" s="48"/>
    </row>
    <row r="2042" spans="1:6" ht="12.75">
      <c r="A2042" s="42"/>
      <c r="B2042" s="43"/>
      <c r="C2042" s="51"/>
      <c r="D2042" s="52"/>
      <c r="E2042" s="48"/>
      <c r="F2042" s="48"/>
    </row>
    <row r="2043" spans="1:6" ht="12.75">
      <c r="A2043" s="42"/>
      <c r="B2043" s="43"/>
      <c r="C2043" s="51"/>
      <c r="D2043" s="52"/>
      <c r="E2043" s="48"/>
      <c r="F2043" s="48"/>
    </row>
    <row r="2044" spans="1:6" ht="12.75">
      <c r="A2044" s="42"/>
      <c r="B2044" s="43"/>
      <c r="C2044" s="51"/>
      <c r="D2044" s="52"/>
      <c r="E2044" s="48"/>
      <c r="F2044" s="48"/>
    </row>
    <row r="2045" spans="1:6" ht="12.75">
      <c r="A2045" s="42"/>
      <c r="B2045" s="43"/>
      <c r="C2045" s="51"/>
      <c r="D2045" s="52"/>
      <c r="E2045" s="48"/>
      <c r="F2045" s="48"/>
    </row>
    <row r="2046" spans="1:6" ht="12.75">
      <c r="A2046" s="42"/>
      <c r="B2046" s="43"/>
      <c r="C2046" s="51"/>
      <c r="D2046" s="52"/>
      <c r="E2046" s="48"/>
      <c r="F2046" s="48"/>
    </row>
    <row r="2047" spans="1:6" ht="12.75">
      <c r="A2047" s="42"/>
      <c r="B2047" s="43"/>
      <c r="C2047" s="51"/>
      <c r="D2047" s="52"/>
      <c r="E2047" s="48"/>
      <c r="F2047" s="48"/>
    </row>
    <row r="2048" spans="1:6" ht="12.75">
      <c r="A2048" s="42"/>
      <c r="B2048" s="43"/>
      <c r="C2048" s="51"/>
      <c r="D2048" s="52"/>
      <c r="E2048" s="48"/>
      <c r="F2048" s="48"/>
    </row>
    <row r="2049" spans="1:6" ht="12.75">
      <c r="A2049" s="42"/>
      <c r="B2049" s="43"/>
      <c r="C2049" s="51"/>
      <c r="D2049" s="52"/>
      <c r="E2049" s="48"/>
      <c r="F2049" s="48"/>
    </row>
    <row r="2050" spans="1:6" ht="12.75">
      <c r="A2050" s="42"/>
      <c r="B2050" s="43"/>
      <c r="C2050" s="51"/>
      <c r="D2050" s="52"/>
      <c r="E2050" s="48"/>
      <c r="F2050" s="48"/>
    </row>
    <row r="2051" spans="1:6" ht="12.75">
      <c r="A2051" s="42"/>
      <c r="B2051" s="43"/>
      <c r="C2051" s="51"/>
      <c r="D2051" s="52"/>
      <c r="E2051" s="48"/>
      <c r="F2051" s="48"/>
    </row>
    <row r="2052" spans="1:6" ht="12.75">
      <c r="A2052" s="42"/>
      <c r="B2052" s="43"/>
      <c r="C2052" s="51"/>
      <c r="D2052" s="52"/>
      <c r="E2052" s="48"/>
      <c r="F2052" s="48"/>
    </row>
    <row r="2053" spans="1:6" ht="12.75">
      <c r="A2053" s="42"/>
      <c r="B2053" s="43"/>
      <c r="C2053" s="51"/>
      <c r="D2053" s="52"/>
      <c r="E2053" s="48"/>
      <c r="F2053" s="48"/>
    </row>
    <row r="2054" spans="1:6" ht="12.75">
      <c r="A2054" s="42"/>
      <c r="B2054" s="43"/>
      <c r="C2054" s="51"/>
      <c r="D2054" s="52"/>
      <c r="E2054" s="48"/>
      <c r="F2054" s="48"/>
    </row>
    <row r="2055" spans="1:6" ht="12.75">
      <c r="A2055" s="42"/>
      <c r="B2055" s="43"/>
      <c r="C2055" s="51"/>
      <c r="D2055" s="52"/>
      <c r="E2055" s="48"/>
      <c r="F2055" s="48"/>
    </row>
    <row r="2056" spans="1:6" ht="12.75">
      <c r="A2056" s="42"/>
      <c r="B2056" s="43"/>
      <c r="C2056" s="51"/>
      <c r="D2056" s="52"/>
      <c r="E2056" s="48"/>
      <c r="F2056" s="48"/>
    </row>
    <row r="2057" spans="1:6" ht="12.75">
      <c r="A2057" s="42"/>
      <c r="B2057" s="43"/>
      <c r="C2057" s="51"/>
      <c r="D2057" s="52"/>
      <c r="E2057" s="48"/>
      <c r="F2057" s="48"/>
    </row>
    <row r="2058" spans="1:6" ht="12.75">
      <c r="A2058" s="42"/>
      <c r="B2058" s="43"/>
      <c r="C2058" s="51"/>
      <c r="D2058" s="52"/>
      <c r="E2058" s="48"/>
      <c r="F2058" s="48"/>
    </row>
    <row r="2059" spans="1:6" ht="12.75">
      <c r="A2059" s="42"/>
      <c r="B2059" s="43"/>
      <c r="C2059" s="51"/>
      <c r="D2059" s="52"/>
      <c r="E2059" s="48"/>
      <c r="F2059" s="48"/>
    </row>
    <row r="2060" spans="1:6" ht="12.75">
      <c r="A2060" s="42"/>
      <c r="B2060" s="43"/>
      <c r="C2060" s="51"/>
      <c r="D2060" s="52"/>
      <c r="E2060" s="48"/>
      <c r="F2060" s="48"/>
    </row>
    <row r="2061" spans="1:6" ht="12.75">
      <c r="A2061" s="42"/>
      <c r="B2061" s="43"/>
      <c r="C2061" s="51"/>
      <c r="D2061" s="52"/>
      <c r="E2061" s="48"/>
      <c r="F2061" s="48"/>
    </row>
    <row r="2062" spans="1:6" ht="12.75">
      <c r="A2062" s="42"/>
      <c r="B2062" s="43"/>
      <c r="C2062" s="51"/>
      <c r="D2062" s="52"/>
      <c r="E2062" s="48"/>
      <c r="F2062" s="48"/>
    </row>
    <row r="2063" spans="1:6" ht="12.75">
      <c r="A2063" s="42"/>
      <c r="B2063" s="43"/>
      <c r="C2063" s="51"/>
      <c r="D2063" s="52"/>
      <c r="E2063" s="48"/>
      <c r="F2063" s="48"/>
    </row>
    <row r="2064" spans="1:6" ht="12.75">
      <c r="A2064" s="42"/>
      <c r="B2064" s="43"/>
      <c r="C2064" s="51"/>
      <c r="D2064" s="52"/>
      <c r="E2064" s="48"/>
      <c r="F2064" s="48"/>
    </row>
    <row r="2065" spans="1:6" ht="12.75">
      <c r="A2065" s="42"/>
      <c r="B2065" s="43"/>
      <c r="C2065" s="51"/>
      <c r="D2065" s="52"/>
      <c r="E2065" s="48"/>
      <c r="F2065" s="48"/>
    </row>
    <row r="2066" spans="1:6" ht="12.75">
      <c r="A2066" s="42"/>
      <c r="B2066" s="43"/>
      <c r="C2066" s="51"/>
      <c r="D2066" s="52"/>
      <c r="E2066" s="48"/>
      <c r="F2066" s="48"/>
    </row>
    <row r="2067" spans="1:6" ht="12.75">
      <c r="A2067" s="42"/>
      <c r="B2067" s="43"/>
      <c r="C2067" s="51"/>
      <c r="D2067" s="52"/>
      <c r="E2067" s="48"/>
      <c r="F2067" s="48"/>
    </row>
    <row r="2068" spans="1:6" ht="12.75">
      <c r="A2068" s="42"/>
      <c r="B2068" s="43"/>
      <c r="C2068" s="51"/>
      <c r="D2068" s="52"/>
      <c r="E2068" s="48"/>
      <c r="F2068" s="48"/>
    </row>
    <row r="2069" spans="1:6" ht="12.75">
      <c r="A2069" s="42"/>
      <c r="B2069" s="43"/>
      <c r="C2069" s="51"/>
      <c r="D2069" s="52"/>
      <c r="E2069" s="48"/>
      <c r="F2069" s="48"/>
    </row>
    <row r="2070" spans="1:6" ht="12.75">
      <c r="A2070" s="42"/>
      <c r="B2070" s="43"/>
      <c r="C2070" s="51"/>
      <c r="D2070" s="52"/>
      <c r="E2070" s="48"/>
      <c r="F2070" s="48"/>
    </row>
    <row r="2071" spans="1:6" ht="12.75">
      <c r="A2071" s="42"/>
      <c r="B2071" s="43"/>
      <c r="C2071" s="51"/>
      <c r="D2071" s="52"/>
      <c r="E2071" s="48"/>
      <c r="F2071" s="48"/>
    </row>
    <row r="2072" spans="1:6" ht="12.75">
      <c r="A2072" s="42"/>
      <c r="B2072" s="43"/>
      <c r="C2072" s="51"/>
      <c r="D2072" s="52"/>
      <c r="E2072" s="48"/>
      <c r="F2072" s="48"/>
    </row>
    <row r="2073" spans="1:6" ht="12.75">
      <c r="A2073" s="42"/>
      <c r="B2073" s="43"/>
      <c r="C2073" s="51"/>
      <c r="D2073" s="52"/>
      <c r="E2073" s="48"/>
      <c r="F2073" s="48"/>
    </row>
    <row r="2074" spans="1:6" ht="12.75">
      <c r="A2074" s="42"/>
      <c r="B2074" s="43"/>
      <c r="C2074" s="51"/>
      <c r="D2074" s="52"/>
      <c r="E2074" s="48"/>
      <c r="F2074" s="48"/>
    </row>
    <row r="2075" spans="1:6" ht="12.75">
      <c r="A2075" s="42"/>
      <c r="B2075" s="43"/>
      <c r="C2075" s="51"/>
      <c r="D2075" s="52"/>
      <c r="E2075" s="48"/>
      <c r="F2075" s="48"/>
    </row>
    <row r="2076" spans="1:6" ht="12.75">
      <c r="A2076" s="42"/>
      <c r="B2076" s="43"/>
      <c r="C2076" s="51"/>
      <c r="D2076" s="52"/>
      <c r="E2076" s="48"/>
      <c r="F2076" s="48"/>
    </row>
    <row r="2077" spans="1:6" ht="12.75">
      <c r="A2077" s="42"/>
      <c r="B2077" s="43"/>
      <c r="C2077" s="51"/>
      <c r="D2077" s="52"/>
      <c r="E2077" s="48"/>
      <c r="F2077" s="48"/>
    </row>
    <row r="2078" spans="1:6" ht="12.75">
      <c r="A2078" s="42"/>
      <c r="B2078" s="43"/>
      <c r="C2078" s="51"/>
      <c r="D2078" s="52"/>
      <c r="E2078" s="48"/>
      <c r="F2078" s="48"/>
    </row>
    <row r="2079" spans="1:6" ht="12.75">
      <c r="A2079" s="42"/>
      <c r="B2079" s="43"/>
      <c r="C2079" s="51"/>
      <c r="D2079" s="52"/>
      <c r="E2079" s="48"/>
      <c r="F2079" s="48"/>
    </row>
    <row r="2080" spans="1:6" ht="12.75">
      <c r="A2080" s="42"/>
      <c r="B2080" s="43"/>
      <c r="C2080" s="51"/>
      <c r="D2080" s="52"/>
      <c r="E2080" s="48"/>
      <c r="F2080" s="48"/>
    </row>
    <row r="2081" spans="1:6" ht="12.75">
      <c r="A2081" s="42"/>
      <c r="B2081" s="43"/>
      <c r="C2081" s="51"/>
      <c r="D2081" s="52"/>
      <c r="E2081" s="48"/>
      <c r="F2081" s="48"/>
    </row>
    <row r="2082" spans="1:6" ht="12.75">
      <c r="A2082" s="42"/>
      <c r="B2082" s="43"/>
      <c r="C2082" s="51"/>
      <c r="D2082" s="52"/>
      <c r="E2082" s="48"/>
      <c r="F2082" s="48"/>
    </row>
    <row r="2083" spans="1:6" ht="12.75">
      <c r="A2083" s="42"/>
      <c r="B2083" s="43"/>
      <c r="C2083" s="51"/>
      <c r="D2083" s="52"/>
      <c r="E2083" s="48"/>
      <c r="F2083" s="48"/>
    </row>
    <row r="2084" spans="1:6" ht="12.75">
      <c r="A2084" s="42"/>
      <c r="B2084" s="43"/>
      <c r="C2084" s="51"/>
      <c r="D2084" s="52"/>
      <c r="E2084" s="48"/>
      <c r="F2084" s="48"/>
    </row>
    <row r="2085" spans="1:6" ht="12.75">
      <c r="A2085" s="42"/>
      <c r="B2085" s="43"/>
      <c r="C2085" s="51"/>
      <c r="D2085" s="52"/>
      <c r="E2085" s="48"/>
      <c r="F2085" s="48"/>
    </row>
    <row r="2086" spans="1:6" ht="12.75">
      <c r="A2086" s="42"/>
      <c r="B2086" s="43"/>
      <c r="C2086" s="51"/>
      <c r="D2086" s="52"/>
      <c r="E2086" s="48"/>
      <c r="F2086" s="48"/>
    </row>
    <row r="2087" spans="1:6" ht="12.75">
      <c r="A2087" s="42"/>
      <c r="B2087" s="43"/>
      <c r="C2087" s="51"/>
      <c r="D2087" s="52"/>
      <c r="E2087" s="48"/>
      <c r="F2087" s="48"/>
    </row>
    <row r="2088" spans="1:6" ht="12.75">
      <c r="A2088" s="42"/>
      <c r="B2088" s="43"/>
      <c r="C2088" s="51"/>
      <c r="D2088" s="52"/>
      <c r="E2088" s="48"/>
      <c r="F2088" s="48"/>
    </row>
    <row r="2089" spans="1:6" ht="12.75">
      <c r="A2089" s="42"/>
      <c r="B2089" s="43"/>
      <c r="C2089" s="51"/>
      <c r="D2089" s="52"/>
      <c r="E2089" s="48"/>
      <c r="F2089" s="48"/>
    </row>
    <row r="2090" spans="1:6" ht="12.75">
      <c r="A2090" s="42"/>
      <c r="B2090" s="43"/>
      <c r="C2090" s="51"/>
      <c r="D2090" s="52"/>
      <c r="E2090" s="48"/>
      <c r="F2090" s="48"/>
    </row>
    <row r="2091" spans="1:6" ht="12.75">
      <c r="A2091" s="42"/>
      <c r="B2091" s="43"/>
      <c r="C2091" s="51"/>
      <c r="D2091" s="52"/>
      <c r="E2091" s="48"/>
      <c r="F2091" s="48"/>
    </row>
    <row r="2092" spans="1:6" ht="12.75">
      <c r="A2092" s="42"/>
      <c r="B2092" s="43"/>
      <c r="C2092" s="51"/>
      <c r="D2092" s="52"/>
      <c r="E2092" s="48"/>
      <c r="F2092" s="48"/>
    </row>
    <row r="2093" spans="1:6" ht="12.75">
      <c r="A2093" s="42"/>
      <c r="B2093" s="43"/>
      <c r="C2093" s="51"/>
      <c r="D2093" s="52"/>
      <c r="E2093" s="48"/>
      <c r="F2093" s="48"/>
    </row>
    <row r="2094" spans="1:6" ht="12.75">
      <c r="A2094" s="42"/>
      <c r="B2094" s="43"/>
      <c r="C2094" s="51"/>
      <c r="D2094" s="52"/>
      <c r="E2094" s="48"/>
      <c r="F2094" s="48"/>
    </row>
    <row r="2095" spans="1:6" ht="12.75">
      <c r="A2095" s="42"/>
      <c r="B2095" s="43"/>
      <c r="C2095" s="51"/>
      <c r="D2095" s="52"/>
      <c r="E2095" s="48"/>
      <c r="F2095" s="48"/>
    </row>
    <row r="2096" spans="1:6" ht="12.75">
      <c r="A2096" s="42"/>
      <c r="B2096" s="43"/>
      <c r="C2096" s="51"/>
      <c r="D2096" s="52"/>
      <c r="E2096" s="48"/>
      <c r="F2096" s="48"/>
    </row>
    <row r="2097" spans="1:6" ht="12.75">
      <c r="A2097" s="42"/>
      <c r="B2097" s="43"/>
      <c r="C2097" s="51"/>
      <c r="D2097" s="52"/>
      <c r="E2097" s="48"/>
      <c r="F2097" s="48"/>
    </row>
    <row r="2098" spans="1:6" ht="12.75">
      <c r="A2098" s="42"/>
      <c r="B2098" s="43"/>
      <c r="C2098" s="51"/>
      <c r="D2098" s="52"/>
      <c r="E2098" s="48"/>
      <c r="F2098" s="48"/>
    </row>
    <row r="2099" spans="1:6" ht="12.75">
      <c r="A2099" s="42"/>
      <c r="B2099" s="43"/>
      <c r="C2099" s="51"/>
      <c r="D2099" s="52"/>
      <c r="E2099" s="48"/>
      <c r="F2099" s="48"/>
    </row>
    <row r="2100" spans="1:6" ht="12.75">
      <c r="A2100" s="42"/>
      <c r="B2100" s="43"/>
      <c r="C2100" s="51"/>
      <c r="D2100" s="52"/>
      <c r="E2100" s="48"/>
      <c r="F2100" s="48"/>
    </row>
    <row r="2101" spans="1:6" ht="12.75">
      <c r="A2101" s="42"/>
      <c r="B2101" s="43"/>
      <c r="C2101" s="51"/>
      <c r="D2101" s="52"/>
      <c r="E2101" s="48"/>
      <c r="F2101" s="48"/>
    </row>
    <row r="2102" spans="1:6" ht="12.75">
      <c r="A2102" s="42"/>
      <c r="B2102" s="43"/>
      <c r="C2102" s="51"/>
      <c r="D2102" s="52"/>
      <c r="E2102" s="48"/>
      <c r="F2102" s="48"/>
    </row>
    <row r="2103" spans="1:6" ht="12.75">
      <c r="A2103" s="42"/>
      <c r="B2103" s="43"/>
      <c r="C2103" s="51"/>
      <c r="D2103" s="52"/>
      <c r="E2103" s="48"/>
      <c r="F2103" s="48"/>
    </row>
    <row r="2104" spans="1:6" ht="12.75">
      <c r="A2104" s="42"/>
      <c r="B2104" s="43"/>
      <c r="C2104" s="51"/>
      <c r="D2104" s="52"/>
      <c r="E2104" s="48"/>
      <c r="F2104" s="48"/>
    </row>
    <row r="2105" spans="1:6" ht="12.75">
      <c r="A2105" s="42"/>
      <c r="B2105" s="43"/>
      <c r="C2105" s="51"/>
      <c r="D2105" s="52"/>
      <c r="E2105" s="48"/>
      <c r="F2105" s="48"/>
    </row>
    <row r="2106" spans="1:6" ht="12.75">
      <c r="A2106" s="42"/>
      <c r="B2106" s="43"/>
      <c r="C2106" s="51"/>
      <c r="D2106" s="52"/>
      <c r="E2106" s="48"/>
      <c r="F2106" s="48"/>
    </row>
    <row r="2107" spans="1:6" ht="12.75">
      <c r="A2107" s="42"/>
      <c r="B2107" s="43"/>
      <c r="C2107" s="51"/>
      <c r="D2107" s="52"/>
      <c r="E2107" s="48"/>
      <c r="F2107" s="48"/>
    </row>
    <row r="2108" spans="1:6" ht="12.75">
      <c r="A2108" s="42"/>
      <c r="B2108" s="43"/>
      <c r="C2108" s="51"/>
      <c r="D2108" s="52"/>
      <c r="E2108" s="48"/>
      <c r="F2108" s="48"/>
    </row>
    <row r="2109" spans="1:6" ht="12.75">
      <c r="A2109" s="42"/>
      <c r="B2109" s="43"/>
      <c r="C2109" s="51"/>
      <c r="D2109" s="52"/>
      <c r="E2109" s="48"/>
      <c r="F2109" s="48"/>
    </row>
    <row r="2110" spans="1:6" ht="12.75">
      <c r="A2110" s="42"/>
      <c r="B2110" s="43"/>
      <c r="C2110" s="51"/>
      <c r="D2110" s="52"/>
      <c r="E2110" s="48"/>
      <c r="F2110" s="48"/>
    </row>
    <row r="2111" spans="1:6" ht="12.75">
      <c r="A2111" s="42"/>
      <c r="B2111" s="43"/>
      <c r="C2111" s="51"/>
      <c r="D2111" s="52"/>
      <c r="E2111" s="48"/>
      <c r="F2111" s="48"/>
    </row>
    <row r="2112" spans="1:6" ht="12.75">
      <c r="A2112" s="42"/>
      <c r="B2112" s="43"/>
      <c r="C2112" s="51"/>
      <c r="D2112" s="52"/>
      <c r="E2112" s="48"/>
      <c r="F2112" s="48"/>
    </row>
    <row r="2113" spans="1:6" ht="12.75">
      <c r="A2113" s="42"/>
      <c r="B2113" s="43"/>
      <c r="C2113" s="51"/>
      <c r="D2113" s="52"/>
      <c r="E2113" s="48"/>
      <c r="F2113" s="48"/>
    </row>
    <row r="2114" spans="1:6" ht="12.75">
      <c r="A2114" s="42"/>
      <c r="B2114" s="43"/>
      <c r="C2114" s="51"/>
      <c r="D2114" s="52"/>
      <c r="E2114" s="48"/>
      <c r="F2114" s="48"/>
    </row>
    <row r="2115" spans="1:6" ht="12.75">
      <c r="A2115" s="42"/>
      <c r="B2115" s="43"/>
      <c r="C2115" s="51"/>
      <c r="D2115" s="52"/>
      <c r="E2115" s="48"/>
      <c r="F2115" s="48"/>
    </row>
    <row r="2116" spans="1:6" ht="12.75">
      <c r="A2116" s="42"/>
      <c r="B2116" s="43"/>
      <c r="C2116" s="51"/>
      <c r="D2116" s="52"/>
      <c r="E2116" s="48"/>
      <c r="F2116" s="48"/>
    </row>
    <row r="2117" spans="1:6" ht="12.75">
      <c r="A2117" s="42"/>
      <c r="B2117" s="43"/>
      <c r="C2117" s="51"/>
      <c r="D2117" s="52"/>
      <c r="E2117" s="48"/>
      <c r="F2117" s="48"/>
    </row>
    <row r="2118" spans="1:6" ht="12.75">
      <c r="A2118" s="42"/>
      <c r="B2118" s="43"/>
      <c r="C2118" s="51"/>
      <c r="D2118" s="52"/>
      <c r="E2118" s="48"/>
      <c r="F2118" s="48"/>
    </row>
    <row r="2119" spans="1:6" ht="12.75">
      <c r="A2119" s="42"/>
      <c r="B2119" s="43"/>
      <c r="C2119" s="51"/>
      <c r="D2119" s="52"/>
      <c r="E2119" s="48"/>
      <c r="F2119" s="48"/>
    </row>
    <row r="2120" spans="1:6" ht="12.75">
      <c r="A2120" s="42"/>
      <c r="B2120" s="43"/>
      <c r="C2120" s="51"/>
      <c r="D2120" s="52"/>
      <c r="E2120" s="48"/>
      <c r="F2120" s="48"/>
    </row>
    <row r="2121" spans="1:6" ht="12.75">
      <c r="A2121" s="42"/>
      <c r="B2121" s="43"/>
      <c r="C2121" s="51"/>
      <c r="D2121" s="52"/>
      <c r="E2121" s="48"/>
      <c r="F2121" s="48"/>
    </row>
    <row r="2122" spans="1:6" ht="12.75">
      <c r="A2122" s="42"/>
      <c r="B2122" s="43"/>
      <c r="C2122" s="51"/>
      <c r="D2122" s="52"/>
      <c r="E2122" s="48"/>
      <c r="F2122" s="48"/>
    </row>
    <row r="2123" spans="1:4" ht="12.75">
      <c r="A2123" s="42"/>
      <c r="B2123" s="43"/>
      <c r="C2123" s="51"/>
      <c r="D2123" s="52"/>
    </row>
    <row r="2124" spans="1:4" ht="12.75">
      <c r="A2124" s="42"/>
      <c r="B2124" s="43"/>
      <c r="C2124" s="51"/>
      <c r="D2124" s="52"/>
    </row>
  </sheetData>
  <sheetProtection selectLockedCells="1"/>
  <mergeCells count="81">
    <mergeCell ref="C1253:F1253"/>
    <mergeCell ref="C1264:F1264"/>
    <mergeCell ref="C1346:F1346"/>
    <mergeCell ref="F1700:G1700"/>
    <mergeCell ref="F1701:G1701"/>
    <mergeCell ref="A1460:A1462"/>
    <mergeCell ref="A1464:A1465"/>
    <mergeCell ref="A1418:A1423"/>
    <mergeCell ref="B1615:E1615"/>
    <mergeCell ref="B1594:E1594"/>
    <mergeCell ref="B1614:E1614"/>
    <mergeCell ref="A1424:A1429"/>
    <mergeCell ref="A1430:A1432"/>
    <mergeCell ref="A1434:A1437"/>
    <mergeCell ref="A1458:A1459"/>
    <mergeCell ref="B1193:F1193"/>
    <mergeCell ref="A1195:C1195"/>
    <mergeCell ref="A1197:F1197"/>
    <mergeCell ref="A1198:F1198"/>
    <mergeCell ref="A1208:C1208"/>
    <mergeCell ref="C1212:F1212"/>
    <mergeCell ref="B1165:F1165"/>
    <mergeCell ref="A1176:C1176"/>
    <mergeCell ref="B1178:F1178"/>
    <mergeCell ref="A1187:C1187"/>
    <mergeCell ref="B1189:F1189"/>
    <mergeCell ref="A1191:C1191"/>
    <mergeCell ref="B1126:D1126"/>
    <mergeCell ref="A1137:C1137"/>
    <mergeCell ref="B1139:F1139"/>
    <mergeCell ref="A1146:C1146"/>
    <mergeCell ref="B1148:F1148"/>
    <mergeCell ref="A1163:C1163"/>
    <mergeCell ref="B292:E292"/>
    <mergeCell ref="B309:E309"/>
    <mergeCell ref="B328:E328"/>
    <mergeCell ref="B371:E371"/>
    <mergeCell ref="B444:E444"/>
    <mergeCell ref="B1267:E1267"/>
    <mergeCell ref="A1211:E1211"/>
    <mergeCell ref="B1215:E1215"/>
    <mergeCell ref="B703:D703"/>
    <mergeCell ref="B1110:D1110"/>
    <mergeCell ref="B187:E187"/>
    <mergeCell ref="B188:E188"/>
    <mergeCell ref="B214:E214"/>
    <mergeCell ref="B215:E215"/>
    <mergeCell ref="B254:E254"/>
    <mergeCell ref="B255:E255"/>
    <mergeCell ref="B1595:E1595"/>
    <mergeCell ref="B1613:E1613"/>
    <mergeCell ref="A1558:A1560"/>
    <mergeCell ref="A1:F1"/>
    <mergeCell ref="A2:F2"/>
    <mergeCell ref="A3:F3"/>
    <mergeCell ref="B37:E37"/>
    <mergeCell ref="B109:E109"/>
    <mergeCell ref="B110:E110"/>
    <mergeCell ref="B111:E111"/>
    <mergeCell ref="B1349:E1349"/>
    <mergeCell ref="B1327:E1327"/>
    <mergeCell ref="B1297:E1297"/>
    <mergeCell ref="A1403:E1403"/>
    <mergeCell ref="A1590:E1590"/>
    <mergeCell ref="B1593:E1593"/>
    <mergeCell ref="B38:E38"/>
    <mergeCell ref="B39:E39"/>
    <mergeCell ref="B61:E61"/>
    <mergeCell ref="B62:E62"/>
    <mergeCell ref="B63:E63"/>
    <mergeCell ref="B108:E108"/>
    <mergeCell ref="B1616:E1616"/>
    <mergeCell ref="B1642:E1642"/>
    <mergeCell ref="B1653:E1653"/>
    <mergeCell ref="A1691:E1697"/>
    <mergeCell ref="A513:E513"/>
    <mergeCell ref="A1128:E1128"/>
    <mergeCell ref="C1294:F1294"/>
    <mergeCell ref="C1324:F1324"/>
    <mergeCell ref="C1366:F1366"/>
    <mergeCell ref="B1369:E1369"/>
  </mergeCells>
  <conditionalFormatting sqref="E1214:F1214 E1255:F1255 E1266:F1266 E1293:F1294 E1328:F1328 E1350:F1350 E1368:F1368 G1393:G1400 E1228:F1229 E1217:E1227 E1231:F1232 E1230 E1235:F1236 E1233:E1234 E1250:F1250 E1237:E1249 E1261:F1261 E1256:E1260 E1278:F1278 E1269:E1277 E1279:E1288 E1296:F1296 E1300:F1300 E1299 E1305:F1305 E1301:E1304 E1317:F1317 E1306:E1316 E1318 E1330:F1330 E1329 E1335:F1335 E1331:E1334 E1343:F1343 E1336:E1342 E1356:F1356 E1351:E1355 E1360:F1360 E1357:E1359 E1363:F1363 E1361:E1362 E1378:F1378 E1371:E1377 E1387:F1387 E1379:E1386 E1370:F1370 F1369 F1349 F1327 E1298:F1298 F1297 E1268:F1268 F1267 E1216:F1216 F1215">
    <cfRule type="cellIs" priority="51" dxfId="0" operator="equal" stopIfTrue="1">
      <formula>0</formula>
    </cfRule>
  </conditionalFormatting>
  <conditionalFormatting sqref="E1268:F1268 E1269:E1277">
    <cfRule type="cellIs" priority="12" dxfId="0" operator="equal" stopIfTrue="1">
      <formula>0</formula>
    </cfRule>
  </conditionalFormatting>
  <conditionalFormatting sqref="E1266:F1266 E1280:E1284 E1286:E1287 E1291:F1291 E1290 F1267">
    <cfRule type="cellIs" priority="11" dxfId="0" operator="equal" stopIfTrue="1">
      <formula>0</formula>
    </cfRule>
  </conditionalFormatting>
  <conditionalFormatting sqref="E1289">
    <cfRule type="cellIs" priority="10" dxfId="0" operator="equal" stopIfTrue="1">
      <formula>0</formula>
    </cfRule>
  </conditionalFormatting>
  <conditionalFormatting sqref="E1278:F1278 E1285 E1288">
    <cfRule type="cellIs" priority="9" dxfId="0" operator="equal" stopIfTrue="1">
      <formula>0</formula>
    </cfRule>
  </conditionalFormatting>
  <conditionalFormatting sqref="E1279">
    <cfRule type="cellIs" priority="8" dxfId="0" operator="equal" stopIfTrue="1">
      <formula>0</formula>
    </cfRule>
  </conditionalFormatting>
  <conditionalFormatting sqref="E1300:F1300 E1304 E1299 E1301">
    <cfRule type="cellIs" priority="7" dxfId="0" operator="equal" stopIfTrue="1">
      <formula>0</formula>
    </cfRule>
  </conditionalFormatting>
  <conditionalFormatting sqref="E1302:E1303">
    <cfRule type="cellIs" priority="6" dxfId="0" operator="equal" stopIfTrue="1">
      <formula>0</formula>
    </cfRule>
  </conditionalFormatting>
  <conditionalFormatting sqref="E1296:F1296 E1310:E1312 E1314:E1315 E1318 E1321:F1321 E1298:F1298 F1297">
    <cfRule type="cellIs" priority="5" dxfId="0" operator="equal" stopIfTrue="1">
      <formula>0</formula>
    </cfRule>
  </conditionalFormatting>
  <conditionalFormatting sqref="E1316 E1319:E1320">
    <cfRule type="cellIs" priority="4" dxfId="0" operator="equal" stopIfTrue="1">
      <formula>0</formula>
    </cfRule>
  </conditionalFormatting>
  <conditionalFormatting sqref="E1305:F1305">
    <cfRule type="cellIs" priority="3" dxfId="0" operator="equal" stopIfTrue="1">
      <formula>0</formula>
    </cfRule>
  </conditionalFormatting>
  <conditionalFormatting sqref="E1313 E1317:F1317">
    <cfRule type="cellIs" priority="2" dxfId="0" operator="equal" stopIfTrue="1">
      <formula>0</formula>
    </cfRule>
  </conditionalFormatting>
  <conditionalFormatting sqref="E1306:E1309">
    <cfRule type="cellIs" priority="1" dxfId="0" operator="equal" stopIfTrue="1">
      <formula>0</formula>
    </cfRule>
  </conditionalFormatting>
  <printOptions horizontalCentered="1"/>
  <pageMargins left="0.984251968503937" right="0.3937007874015748" top="0.3937007874015748" bottom="0.7874015748031497" header="0.5118110236220472" footer="0.5118110236220472"/>
  <pageSetup horizontalDpi="600" verticalDpi="600" orientation="portrait" paperSize="9" scale="63" r:id="rId3"/>
  <headerFooter alignWithMargins="0">
    <oddFooter>&amp;CStrana &amp;P od &amp;N</oddFooter>
  </headerFooter>
  <rowBreaks count="2" manualBreakCount="2">
    <brk id="1180" max="14" man="1"/>
    <brk id="12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Mirko</dc:creator>
  <cp:keywords/>
  <dc:description/>
  <cp:lastModifiedBy>Jelena</cp:lastModifiedBy>
  <cp:lastPrinted>2016-05-31T10:43:38Z</cp:lastPrinted>
  <dcterms:created xsi:type="dcterms:W3CDTF">2008-05-15T07:54:55Z</dcterms:created>
  <dcterms:modified xsi:type="dcterms:W3CDTF">2016-05-31T12:52:50Z</dcterms:modified>
  <cp:category/>
  <cp:version/>
  <cp:contentType/>
  <cp:contentStatus/>
</cp:coreProperties>
</file>